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 firstSheet="2" activeTab="2"/>
  </bookViews>
  <sheets>
    <sheet name="第二批" sheetId="15" state="hidden" r:id="rId1"/>
    <sheet name="第二批 (3)" sheetId="17" state="hidden" r:id="rId2"/>
    <sheet name="第二批 (2)" sheetId="16" r:id="rId3"/>
    <sheet name="2025年项目库修改版 (县委汇报版)" sheetId="7" state="hidden" r:id="rId4"/>
    <sheet name="2025年项目提取" sheetId="4" state="hidden" r:id="rId5"/>
    <sheet name="土地碎片化" sheetId="10" state="hidden" r:id="rId6"/>
    <sheet name="示范村" sheetId="9" state="hidden" r:id="rId7"/>
    <sheet name="各单位统计" sheetId="6" state="hidden" r:id="rId8"/>
    <sheet name="下拉列表" sheetId="2" state="hidden" r:id="rId9"/>
  </sheets>
  <definedNames>
    <definedName name="_xlnm._FilterDatabase" localSheetId="0" hidden="1">第二批!$A$9:$AC$66</definedName>
    <definedName name="_xlnm._FilterDatabase" localSheetId="1" hidden="1">'第二批 (3)'!$A$9:$AB$28</definedName>
    <definedName name="_xlnm._FilterDatabase" localSheetId="3" hidden="1">'2025年项目库修改版 (县委汇报版)'!$A$7:$AA$169</definedName>
    <definedName name="_xlnm._FilterDatabase" localSheetId="4" hidden="1">'2025年项目提取'!$A$7:$AC$142</definedName>
    <definedName name="_xlnm._FilterDatabase" localSheetId="5" hidden="1">土地碎片化!$A$7:$AC$33</definedName>
    <definedName name="_xlnm._FilterDatabase" localSheetId="6" hidden="1">示范村!$A$3:$O$22</definedName>
    <definedName name="_xlnm._FilterDatabase" localSheetId="2" hidden="1">'第二批 (2)'!#REF!</definedName>
    <definedName name="项目管理费">下拉列表!$F$2</definedName>
    <definedName name="巩固三保障成果">下拉列表!$E$2:$E$3</definedName>
    <definedName name="易地搬迁后扶">下拉列表!$D$2:$D$4</definedName>
    <definedName name="其他">下拉列表!$G$2:$G$4</definedName>
    <definedName name="就业项目">下拉列表!$B$2:$B$12</definedName>
    <definedName name="乡村建设行动">下拉列表!$C$2:$C$19</definedName>
    <definedName name="产业发展">下拉列表!$A$2:$A$22</definedName>
    <definedName name="_xlnm.Print_Titles" localSheetId="4">'2025年项目提取'!$3:$6</definedName>
    <definedName name="_xlnm.Print_Titles" localSheetId="3">'2025年项目库修改版 (县委汇报版)'!$3:$6</definedName>
    <definedName name="_xlnm.Print_Titles" localSheetId="5">土地碎片化!$3:$6</definedName>
    <definedName name="_xlnm.Print_Titles" localSheetId="0">第二批!$3:$6</definedName>
    <definedName name="_xlnm.Print_Titles" localSheetId="2">'第二批 (2)'!$3:$6</definedName>
    <definedName name="_xlnm.Print_Titles" localSheetId="1">'第二批 (3)'!$3:$6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<sst xmlns="http://schemas.openxmlformats.org/spreadsheetml/2006/main" count="4702" uniqueCount="1016">
  <si>
    <t>叶城县2025年第二批巩固拓展脱贫攻坚成果同乡村振兴项目计划表</t>
  </si>
  <si>
    <t>填报单位：叶城县农业农村局</t>
  </si>
  <si>
    <t>序号</t>
  </si>
  <si>
    <t>项目库
编号</t>
  </si>
  <si>
    <t>项目名称</t>
  </si>
  <si>
    <t>二级项目类别</t>
  </si>
  <si>
    <t>项目子类型</t>
  </si>
  <si>
    <t>建设
性质</t>
  </si>
  <si>
    <t>建设地点</t>
  </si>
  <si>
    <t>建设内容</t>
  </si>
  <si>
    <t>建设单位</t>
  </si>
  <si>
    <t>建设规模</t>
  </si>
  <si>
    <t>项目总投资</t>
  </si>
  <si>
    <t>投资（万元）</t>
  </si>
  <si>
    <t>资金来源（万元）</t>
  </si>
  <si>
    <t>责任人</t>
  </si>
  <si>
    <t>主管单位</t>
  </si>
  <si>
    <t>备注</t>
  </si>
  <si>
    <t>衔接资金</t>
  </si>
  <si>
    <t>地方政府一般债券资金</t>
  </si>
  <si>
    <t>地县资金</t>
  </si>
  <si>
    <t>其他资金（社会资金、帮扶资金等）</t>
  </si>
  <si>
    <t>小计</t>
  </si>
  <si>
    <t>巩固拓展和乡村振兴</t>
  </si>
  <si>
    <t>以工代赈</t>
  </si>
  <si>
    <t>少数民族发展</t>
  </si>
  <si>
    <t>欠发达国有农场</t>
  </si>
  <si>
    <t>欠发达国有林场</t>
  </si>
  <si>
    <t>欠发达国有牧场</t>
  </si>
  <si>
    <t>中央</t>
  </si>
  <si>
    <t>自治区</t>
  </si>
  <si>
    <t>合计</t>
  </si>
  <si>
    <t>一</t>
  </si>
  <si>
    <t>产业发展</t>
  </si>
  <si>
    <t>（一）粮食产能提质增效</t>
  </si>
  <si>
    <t>yc2025027</t>
  </si>
  <si>
    <t>叶城县2025年巴仁乡林粮间作节水项目</t>
  </si>
  <si>
    <t>种植业基地</t>
  </si>
  <si>
    <t>新建</t>
  </si>
  <si>
    <t>巴仁乡1村、2村、4村</t>
  </si>
  <si>
    <t>项目总投资396万元，本次安排资金70万元
建设内容：林粮间作节水2200亩，1800元/亩，配套沉砂池、泵房及电力设施等。</t>
  </si>
  <si>
    <t>亩</t>
  </si>
  <si>
    <t>巴仁乡</t>
  </si>
  <si>
    <t>曾恭勤</t>
  </si>
  <si>
    <t>农业技术推广服务中心</t>
  </si>
  <si>
    <t>吴勇</t>
  </si>
  <si>
    <t>yc2025029</t>
  </si>
  <si>
    <t>叶城县2025年伯西热克镇林粮间作节水项目</t>
  </si>
  <si>
    <t>伯西热克镇</t>
  </si>
  <si>
    <t>项目总投资395万元，本次安排资金20万元
建设内容：林粮间作节水2200亩，1800元/亩，配套沉砂池、泵房及电力设施等。</t>
  </si>
  <si>
    <t>武进邹</t>
  </si>
  <si>
    <t>yc2025030</t>
  </si>
  <si>
    <t>叶城县2025年河园镇林粮间作节水项目</t>
  </si>
  <si>
    <t>河园镇</t>
  </si>
  <si>
    <t>项目总投资398万元，本次安排资金20万元
建设内容：林粮间作节水2260亩，1800元/亩，配套沉砂池、泵房及电力设施等。</t>
  </si>
  <si>
    <t>黄林</t>
  </si>
  <si>
    <t>yc2025033</t>
  </si>
  <si>
    <t>叶城县2025年洛克乡林粮间作节水项目</t>
  </si>
  <si>
    <t>洛克乡</t>
  </si>
  <si>
    <t>项目总投资396万元，本次安排资金30万元
建设内容：林粮间作节水2200亩，1800元/亩，配套沉砂池、泵房及电力设施等。</t>
  </si>
  <si>
    <t>张海龙</t>
  </si>
  <si>
    <t>yc2025034</t>
  </si>
  <si>
    <t>叶城县2025年恰尔巴格镇林粮间作节水项目</t>
  </si>
  <si>
    <t>恰尔巴格镇</t>
  </si>
  <si>
    <t>项目总投资396万元，本次安排资金20万元
建设内容：林粮间作节水2200亩，1800元/亩，配套沉砂池、泵房及电力设施等。</t>
  </si>
  <si>
    <t>汪进飞</t>
  </si>
  <si>
    <t>yc2025035</t>
  </si>
  <si>
    <t>叶城县2025年恰其库木管理区林粮间作节水项目</t>
  </si>
  <si>
    <t>恰其库木管理区2村</t>
  </si>
  <si>
    <t>恰其库木管理区</t>
  </si>
  <si>
    <t>肖祥军</t>
  </si>
  <si>
    <t>yc2025036</t>
  </si>
  <si>
    <t>叶城县2025年铁提乡林粮间作节水项目</t>
  </si>
  <si>
    <t>铁提乡</t>
  </si>
  <si>
    <t>王东</t>
  </si>
  <si>
    <t>yc2025037</t>
  </si>
  <si>
    <t>叶城县2025年吐古其乡林粮间作节水项目</t>
  </si>
  <si>
    <t>吐古其乡</t>
  </si>
  <si>
    <t>项目总投资396万元，本次安排资金22万元
建设内容：林粮间作节水2200亩，1800元/亩，配套沉砂池、泵房及电力设施等。</t>
  </si>
  <si>
    <t>木合塔尔·买合木提</t>
  </si>
  <si>
    <t>yc2025038</t>
  </si>
  <si>
    <t>叶城县2025年乌吉热克乡林粮间作节水项目</t>
  </si>
  <si>
    <t>乌吉热克乡10村、11村</t>
  </si>
  <si>
    <t>项目总投资395万元，本次安排资金20万元
建设内容：林粮间作节水2367亩，其中：10村1405亩、11村962亩，1668元/亩，配套沉砂池、泵房及电力设施等。</t>
  </si>
  <si>
    <t>乌吉热克乡</t>
  </si>
  <si>
    <t>李晓倩</t>
  </si>
  <si>
    <t>yc2025039</t>
  </si>
  <si>
    <t>叶城县2025年夏合甫乡林粮间作节水项目</t>
  </si>
  <si>
    <t>夏合甫乡</t>
  </si>
  <si>
    <t>王友川</t>
  </si>
  <si>
    <t>叶城县2025年夏合甫乡林粮间作节水（二期）项目</t>
  </si>
  <si>
    <t>项目总投资396万元，本次安排资金370万元
建设内容：林粮间作节水2200亩，1800元/亩，配套沉砂池、泵房及电力设施等。</t>
  </si>
  <si>
    <t>yc2025041</t>
  </si>
  <si>
    <t>叶城县2025年依提木孔镇林粮间作节水项目</t>
  </si>
  <si>
    <t>依提木孔镇</t>
  </si>
  <si>
    <t>项目总投资396元，本次安排资金20万元
建设内容：林粮间作节水2200亩，1800元/亩，配套沉砂池、泵房及电力设施等。</t>
  </si>
  <si>
    <t>朱辽荣</t>
  </si>
  <si>
    <t>叶城县2025年伯西热克镇5村林粮间作节水项目</t>
  </si>
  <si>
    <t>伯西热克镇5村</t>
  </si>
  <si>
    <t>项目总投资390万元
建设内容：林粮间作节水2200亩，1800元/亩，配套沉砂池、泵房及电力设施等。</t>
  </si>
  <si>
    <t>yc2025040</t>
  </si>
  <si>
    <t>叶城县2025年依力克其乡林粮间作节水（二期）项目</t>
  </si>
  <si>
    <t>依力克其乡4村</t>
  </si>
  <si>
    <t>项目总投资390万元
建设内容：林粮间作节水设施配套2200亩，配套沉砂池、泵房及电力设施等。</t>
  </si>
  <si>
    <t>依力克其乡</t>
  </si>
  <si>
    <t>张兆海</t>
  </si>
  <si>
    <t>叶城县2025年河园镇喀勒塔恰斯木克（6）村林粮间作节水项目</t>
  </si>
  <si>
    <t>河园镇喀勒塔恰斯木克（6）村</t>
  </si>
  <si>
    <t>项目总投资306万元
建设内容：林粮间作节水1700亩，1800元/亩，配套沉砂池、泵房及电力设施等。</t>
  </si>
  <si>
    <t>叶城县2025年巴仁乡林粮间作节水（二期）项目</t>
  </si>
  <si>
    <t>项目总投资270万元，本次安排资金60万元
建设内容：林粮间作节水1500亩，1800元/亩，配套沉砂池、泵房及电力设施等。</t>
  </si>
  <si>
    <t>叶城县2025年铁提乡林粮间作节水（二期）项目</t>
  </si>
  <si>
    <t>项目总投资360万元，本次安排资金30万元
建设内容：林粮间作节水2000亩，1800元/亩，配套沉砂池、泵房及电力设施等。</t>
  </si>
  <si>
    <t>叶城县2025年恰其库木管理区林粮间作节水（二期）项目</t>
  </si>
  <si>
    <t>项目总投资378万元，本次安排资金55万元
建设内容：林粮间作节水2100亩，1800元/亩，配套沉砂池、泵房及电力设施等。</t>
  </si>
  <si>
    <t>肖详军</t>
  </si>
  <si>
    <t>叶城县2025年乌吉热克乡林粮间作节水（二期）项目</t>
  </si>
  <si>
    <t>项目总投资360万元，本次安排资金70万元
建设内容：林粮间作节水2000亩，1800元/亩，配套沉砂池、泵房及电力设施等。</t>
  </si>
  <si>
    <t>yc2025201</t>
  </si>
  <si>
    <t>叶城县2025年依提木孔镇高效节水（二期）项目</t>
  </si>
  <si>
    <t>项目总投资495万元，本次安排资金438.399719万元。
建设内容：高效节水2750亩，1800元/亩，配套沉砂池、泵房及电力设施等。</t>
  </si>
  <si>
    <t>叶城县洛克乡密尔岱（5）村高效节水建设项目</t>
  </si>
  <si>
    <t>洛克乡5村</t>
  </si>
  <si>
    <t>项目总投资360万元。
建设内容：高效节水2000亩，1800元/亩，配套沉砂池、泵房及电力设施等。</t>
  </si>
  <si>
    <t>叶城县洛克乡密尔岱（5）村土地碎片化整理项目</t>
  </si>
  <si>
    <t>项目总投资300万元。
建设内容：实施土地碎片化整理2000亩，1500元/亩。</t>
  </si>
  <si>
    <t>yc2025032</t>
  </si>
  <si>
    <t>叶城县2025年柯克亚乡林粮间作节水项目</t>
  </si>
  <si>
    <t>柯克亚乡2村</t>
  </si>
  <si>
    <t>项目总投资360万元
建设内容：新建引水渠102m，新建林粮间作面积2000亩，1800元/亩，分为2个滴灌系统，建设2座首部沉砂池，2座首部泵房并配套相关设施，建设首部区输配电线路。</t>
  </si>
  <si>
    <t>柯克亚乡</t>
  </si>
  <si>
    <t>李鑫</t>
  </si>
  <si>
    <t>yc2025047</t>
  </si>
  <si>
    <t>叶城县2025年柯克亚乡土地碎片化建设项目</t>
  </si>
  <si>
    <t>项目总投资300万元
建设内容：实施土地碎片化整理2000亩，1500元/亩。</t>
  </si>
  <si>
    <t>（二）产业链延伸及基础设施配套</t>
  </si>
  <si>
    <t>yc2025090</t>
  </si>
  <si>
    <t>叶城县2025年宗朗乡产业园区鲜食玉米加工设备采购项目</t>
  </si>
  <si>
    <t>产地初加工和精深加工</t>
  </si>
  <si>
    <t>宗朗乡3村</t>
  </si>
  <si>
    <t>项目总投资395万元
建设内容：采购一批气吹剥皮机、挑选输送机、自动滚杠清洗机、龙门提升漂烫机、玉米自动杀菌锅、翻转除水机等鲜食玉米加工设备。</t>
  </si>
  <si>
    <t>套</t>
  </si>
  <si>
    <t>宗朗乡</t>
  </si>
  <si>
    <t>吴伟强</t>
  </si>
  <si>
    <t>商工局</t>
  </si>
  <si>
    <t>周贤张</t>
  </si>
  <si>
    <t>yc2025067</t>
  </si>
  <si>
    <t>叶城县2025年金果镇联栋温室建设项目</t>
  </si>
  <si>
    <t>金果镇4村</t>
  </si>
  <si>
    <t>项目总投资2980万元，本次安排资金150万元
建设内容：新建联栋温室30610㎡，日光温室10538㎡，及相关配套附属设施等。</t>
  </si>
  <si>
    <t>平方米</t>
  </si>
  <si>
    <t>金果镇</t>
  </si>
  <si>
    <t>赵振中</t>
  </si>
  <si>
    <t>叶城县2025年年加工20000吨核桃、产出核桃仁、核桃油等及核桃蛋白肽联产建设项目</t>
  </si>
  <si>
    <t>恰尔巴格镇9村</t>
  </si>
  <si>
    <t>项目总投资2500万元，本次安排资金1900万元。
建设内容：采购核桃智能自动剥壳产线1条、20T/D 去衣核桃仁生产线1条、存储油罐及吹罐联产生产线3条、污水处理及配套设施、厂区电力设施改造及车间等改造提升。</t>
  </si>
  <si>
    <t>条</t>
  </si>
  <si>
    <t>yc2025091</t>
  </si>
  <si>
    <t>叶城县2025年戈壁水利设施建设项目</t>
  </si>
  <si>
    <t>项目总投资1500万元
建设内容：柯克亚河新建引水闸一座，沉淀池一座，加压泵房一座，输水管线6.5km，新建蓄水池两座。</t>
  </si>
  <si>
    <t>公里</t>
  </si>
  <si>
    <t>农业农村局</t>
  </si>
  <si>
    <t>张纯妮</t>
  </si>
  <si>
    <t>叶城县2025年洛克乡温室大棚建设项目</t>
  </si>
  <si>
    <t>项目总投资1875万元
建设内容：新建温室大棚37500平方米，折合50*10米标准温室大棚75座，25万元/座，及附属配套建设。</t>
  </si>
  <si>
    <t>座</t>
  </si>
  <si>
    <t>园艺站</t>
  </si>
  <si>
    <t>付雷</t>
  </si>
  <si>
    <t>yc2025076</t>
  </si>
  <si>
    <t>叶城县2025年江格勒斯乡水产养殖发展配套设施项目</t>
  </si>
  <si>
    <t>水产养殖业发展</t>
  </si>
  <si>
    <t>江格勒斯乡9村</t>
  </si>
  <si>
    <t>项目总投资850万元
建设内容：打造乡村旅游基地，发展水产养殖170亩，新建砂砾石道路1.54公里、地坪硬化4000平方米等其他配套附属设施。</t>
  </si>
  <si>
    <t>江格勒斯乡</t>
  </si>
  <si>
    <t>陈传波</t>
  </si>
  <si>
    <t>叶城县2025年依力克其乡林果晾晒厂建设项目</t>
  </si>
  <si>
    <t>依力克其乡16村</t>
  </si>
  <si>
    <t>项目总投资：300万元
建设内容：新建林果晾晒厂1座，地面硬化约10000㎡，配套水、电、路等附属设施设备。</t>
  </si>
  <si>
    <t>叶城县2025年铁提乡冷藏保鲜库建设项目</t>
  </si>
  <si>
    <t>农产品仓储保险冷链基础设施建设</t>
  </si>
  <si>
    <t>铁提乡4村</t>
  </si>
  <si>
    <r>
      <rPr>
        <sz val="16"/>
        <color rgb="FFFF0000"/>
        <rFont val="仿宋"/>
        <charset val="134"/>
      </rPr>
      <t>项目总投资：120万元
建设内容：1座600m</t>
    </r>
    <r>
      <rPr>
        <sz val="16"/>
        <color rgb="FFFF0000"/>
        <rFont val="宋体"/>
        <charset val="134"/>
      </rPr>
      <t>³</t>
    </r>
    <r>
      <rPr>
        <sz val="16"/>
        <color rgb="FFFF0000"/>
        <rFont val="仿宋"/>
        <charset val="134"/>
      </rPr>
      <t>冷藏保鲜库及附属配套。</t>
    </r>
  </si>
  <si>
    <t>叶城县2025年金果镇13村干、鲜切花种植基地建设项目</t>
  </si>
  <si>
    <t>项目总投资：380万元
建设内容：花卉种植区建设110亩（月季20亩、绣球花90亩），配套3.5千米田间道路（主干道2.0千米、辅道1.5千米）、3.5千米输水管网、1.2千米输电线路及水泵、水肥一体化设施等。</t>
  </si>
  <si>
    <t>yc2025097</t>
  </si>
  <si>
    <t>叶城县2025年巴仁乡种植业基地配套（二期）建设项目</t>
  </si>
  <si>
    <r>
      <rPr>
        <sz val="16"/>
        <rFont val="仿宋"/>
        <charset val="134"/>
      </rPr>
      <t>项目总投资：390万元
建设内容：新建0.2m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/s防渗渠5.2公里及配套，75万元/公里。</t>
    </r>
  </si>
  <si>
    <t>yc2025098</t>
  </si>
  <si>
    <t>叶城县2025年白杨镇12村种植业基地配套建设项目</t>
  </si>
  <si>
    <t>白杨镇12村</t>
  </si>
  <si>
    <t>白杨镇</t>
  </si>
  <si>
    <t>王雪强</t>
  </si>
  <si>
    <t>yc2025102</t>
  </si>
  <si>
    <t>叶城县2025年洛克乡种植业基地配套（二期）建设项目</t>
  </si>
  <si>
    <t>项目总投资375万元，本次安排资金120万元
建设内容：新建0.2-0.8/S流量的防渗渠5公里及配套，75万元/公里。</t>
  </si>
  <si>
    <t>yc2025109</t>
  </si>
  <si>
    <t>叶城县2025年夏合甫乡10村16村种植业基地配套建设项目</t>
  </si>
  <si>
    <t>夏合甫乡10村、16村</t>
  </si>
  <si>
    <r>
      <rPr>
        <sz val="16"/>
        <rFont val="仿宋"/>
        <charset val="134"/>
      </rPr>
      <t>项目总投资390万元，本次安排资金375万元
建设内容：新建0.2-0.8m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/s防渗渠5.2公里及配套，75万元/公里。</t>
    </r>
  </si>
  <si>
    <t>yc2025101</t>
  </si>
  <si>
    <t>叶城县2025年江格勒斯乡种植业基地配套（二期）建设项目</t>
  </si>
  <si>
    <r>
      <rPr>
        <sz val="16"/>
        <rFont val="仿宋"/>
        <charset val="134"/>
      </rPr>
      <t>项目总投资375万元
建设内容：新建0.2-0.8m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/s防渗渠5公里及配套，75万元/公里。</t>
    </r>
  </si>
  <si>
    <t>yc2025100</t>
  </si>
  <si>
    <t>叶城县2025年河园镇7村种植业基地配套建设项目</t>
  </si>
  <si>
    <t>河园镇7村</t>
  </si>
  <si>
    <r>
      <rPr>
        <sz val="16"/>
        <rFont val="仿宋"/>
        <charset val="134"/>
      </rPr>
      <t>项目总投资350万元
建设内容：新建防渗渠5公里，每公里75万元，0.2-0.8m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</t>
    </r>
  </si>
  <si>
    <t>yc2025099</t>
  </si>
  <si>
    <t>叶城县2025年伯西热克镇2村种植业基地配套建设项目</t>
  </si>
  <si>
    <t>伯西热克镇2村</t>
  </si>
  <si>
    <r>
      <rPr>
        <sz val="16"/>
        <rFont val="仿宋"/>
        <charset val="134"/>
      </rPr>
      <t>项目总投资290万元
建设内容：新建防渗渠3.9公里，每公里75万元，0.2-0.8m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</t>
    </r>
  </si>
  <si>
    <t>叶城县夏合甫乡5村300亩标准化虾稻共作标准化种养殖基地建设项目</t>
  </si>
  <si>
    <t>养殖业基地</t>
  </si>
  <si>
    <t>夏合甫乡5村</t>
  </si>
  <si>
    <t>项目总投资207万元
建设内容：虾稻共作农田改造300亩，700元/亩，可拆式移动育苗棚11米*70米，15400平方，60元/平方，抽水泵4台，12000元/台，过滤器1台，13000元/台，管网20亩，1100元/亩，首部设备/变频柜等82000元，饲料加工设备（破碎加工一体机560型颗粒机）1套，70000元/台，船式耕田机（25匹三驱）2台，52000元/台，小型插秧机（久保田）1台，63000元/台，收割打捆一体机1台，240000元/台，新型砻碾一体机220V，2台，150000元/台，电力设施及其他附属设施。</t>
  </si>
  <si>
    <t>二</t>
  </si>
  <si>
    <t>就业增收项目</t>
  </si>
  <si>
    <t>yc2025115</t>
  </si>
  <si>
    <t>叶城县2025年临时性公益岗位补助项目</t>
  </si>
  <si>
    <t>就业项目</t>
  </si>
  <si>
    <t>公益性岗位</t>
  </si>
  <si>
    <t>叶城县各乡镇（区）</t>
  </si>
  <si>
    <t>项目总投资1276.8万元，本次安排资金638.4万元。
建设内容：为608个临时性公益岗位进行补助，1750元/人/月。每个公益岗位就业人员就业时间不得超过6个月，参与就业人数不低于1216人。</t>
  </si>
  <si>
    <t>人</t>
  </si>
  <si>
    <t>人社局</t>
  </si>
  <si>
    <t>刘立魁</t>
  </si>
  <si>
    <t>yc2025117</t>
  </si>
  <si>
    <t>叶城县2025年疆内跨地州市（含兵团）就业一次性交通补助</t>
  </si>
  <si>
    <t>交通费补助</t>
  </si>
  <si>
    <t>项目总投资1503.3万元
建设内容：疆内跨地州市（含兵团）就业15033人，每人不超过1000元，其中夏合甫乡736人、柯克亚乡118人、白杨镇582人、巴仁乡282人、乌夏巴什镇574人、江格勒斯乡652人、阿克塔什镇1700人、金果镇3人、棋盘乡41人、吐古其乡673人、恰尔巴格镇1074人、伯西热克镇1437人、乌吉热克乡674人、依力克其乡355人、河园镇1163人、宗朗乡292人、铁提乡427人、依提木孔镇662人、洛克乡2831人。</t>
  </si>
  <si>
    <t>yc2025118</t>
  </si>
  <si>
    <t>叶城县2025年地区内跨县（含兵团）就业一次性交通补助</t>
  </si>
  <si>
    <t>项目总投资117.12万元
建设内容：地区内跨县（含兵团）就业5856人，每人不超过200元，其中夏合甫乡543人、柯克亚乡17人、巴仁乡56人、乌夏巴什镇319人、阿克塔什镇300人、金果镇3人、棋盘乡19人、吐古其乡460人、恰尔巴格镇514人、伯西热克镇726人、乌吉热克乡546人、依力克其乡81人、河园镇691人、宗朗乡68人、依提木孔镇248人、洛克乡1265人。</t>
  </si>
  <si>
    <t>三</t>
  </si>
  <si>
    <t>乡村建设行动</t>
  </si>
  <si>
    <t>yc2025203</t>
  </si>
  <si>
    <t>叶城县2025年河园镇萨依巴格（17）村美丽宜居村建设项目</t>
  </si>
  <si>
    <t>乡村建设</t>
  </si>
  <si>
    <t>污水处理</t>
  </si>
  <si>
    <t>河园镇萨依巴格（17）村</t>
  </si>
  <si>
    <t>项目总投资1475.46万元，本次安排资金1375.46万元
建设内容：1、新建污水管网并配套附属设施，建设主管网6.4公里，60万元/公里，资金384万元。
2、农贸市场改造升级，新建1200平彩钢棚，合理设置摊位，新建公共厕所等配套设施，资金200万元。
3、人居环境整治，对25300平方米地坪硬化、2600立方米换填土等基础设施配套改造升级，资金891.46万元。</t>
  </si>
  <si>
    <t>住建局</t>
  </si>
  <si>
    <t>辜永亮</t>
  </si>
  <si>
    <t>yc2025204</t>
  </si>
  <si>
    <t>叶城县2025年白杨镇博斯坦艾日克（18）村美丽宜居村建设项目</t>
  </si>
  <si>
    <t>白杨镇博斯坦艾日克（18）村</t>
  </si>
  <si>
    <t>项目总投资1200万元，本次安排资金1130万元。
建设内容：1、新建污水管网约8.8公里，修建化粪池、检查井等配套附属设施，60万元/公里，资金528万元。
2、农贸市场改造升级，地面硬化7000平方米，搭建彩钢棚1000平方米，及其他市场相关附属设施，资金168万元。
3、林粮间作节水2800亩，配套沉砂池、泵房及电力设施等，1800元/亩，资金504万元。</t>
  </si>
  <si>
    <t>叶城县2025年夏合甫乡4村容村貌整治项目</t>
  </si>
  <si>
    <t>农村道路建设（通村路、通户路、小型桥梁等）</t>
  </si>
  <si>
    <t>夏合甫乡4村</t>
  </si>
  <si>
    <t>项目总投资390万元
建设内容：农贸市场及其周边环境改造提升，建设20㎡公共厕所2座，道路拓宽及地面硬化10000平方米，及其他附属设施建设。</t>
  </si>
  <si>
    <t>叶城县2025年依提木孔镇14村容村貌整治项目</t>
  </si>
  <si>
    <t>依提木孔镇14村</t>
  </si>
  <si>
    <t>项目总投资398万元
建设内容：新建沥青混凝土路面3200平方米,污水管网5公里及附属配套</t>
  </si>
  <si>
    <t>叶城县2025年巴仁乡10村道路硬化建设项目</t>
  </si>
  <si>
    <t>巴仁乡10村</t>
  </si>
  <si>
    <t>项目总投资180万元。
建设内容：路面硬化12500平方米，道路拓宽3000平方米。</t>
  </si>
  <si>
    <t>交通局</t>
  </si>
  <si>
    <t>王智斌</t>
  </si>
  <si>
    <t>叶城县2025年乌夏巴什镇农村道路建设项目</t>
  </si>
  <si>
    <t>乌夏巴什镇9村-12村</t>
  </si>
  <si>
    <t>项目总投资300万元
建设内容：村组巷道硬化改造2.2公里及配套涵桥等附属设施。</t>
  </si>
  <si>
    <t>乌夏巴什镇</t>
  </si>
  <si>
    <t>王英</t>
  </si>
  <si>
    <t>四</t>
  </si>
  <si>
    <t>巩固“三保障”成果</t>
  </si>
  <si>
    <t>yc2025171</t>
  </si>
  <si>
    <t>叶城县2025年雨露计划项目</t>
  </si>
  <si>
    <t>巩固三保障成果</t>
  </si>
  <si>
    <t>享受“雨露计划+”职业教育补助</t>
  </si>
  <si>
    <t>项目总投资900万元。
建设内容：资助对象为就读于中职、中专（成人中专）、技工、高职等接受职业教育的叶城县户籍脱贫户家庭子女（含监测帮扶对象家庭子女）的实施补助，每人补助3000元，预计享受学生3000人。</t>
  </si>
  <si>
    <t>教育局</t>
  </si>
  <si>
    <t>梁虎</t>
  </si>
  <si>
    <t>五</t>
  </si>
  <si>
    <t>易地搬迁后扶</t>
  </si>
  <si>
    <t>yc2025172</t>
  </si>
  <si>
    <t>叶城县易地扶贫搬迁调整融资模式后地方政府债券贴息补助</t>
  </si>
  <si>
    <t>易地扶贫搬迁贷款债券贴息补助</t>
  </si>
  <si>
    <t>叶城县</t>
  </si>
  <si>
    <t>叶城县易地扶贫搬迁调整融资模式后地方政府债券贴息补助2156.2万元。</t>
  </si>
  <si>
    <t>万元</t>
  </si>
  <si>
    <t>财政局</t>
  </si>
  <si>
    <t>沈丽丽</t>
  </si>
  <si>
    <t>项目总投资370万元
建设内容：林粮间作节水2057亩，1800元/亩，配套沉砂池、泵房及电力设施等。</t>
  </si>
  <si>
    <r>
      <rPr>
        <sz val="16"/>
        <rFont val="仿宋"/>
        <charset val="134"/>
      </rPr>
      <t>项目总投资375万元
建设内容：新建防渗渠5公里，每公里75万元，0.2-0.8m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</t>
    </r>
  </si>
  <si>
    <t>其他（待定）</t>
  </si>
  <si>
    <t>金果镇13村</t>
  </si>
  <si>
    <t>叶城县2025年恰尔巴格镇商铺改造提升及配套附属设施建设项目等2个项目
变更项目计划表</t>
  </si>
  <si>
    <t>变更前项目名称</t>
  </si>
  <si>
    <t>变更前建设内容</t>
  </si>
  <si>
    <t>变更后项目名称</t>
  </si>
  <si>
    <t>变更后建设内容</t>
  </si>
  <si>
    <t>投入资金（万元）</t>
  </si>
  <si>
    <t>叶城县2025年恰尔巴格镇商铺改造提升及配套附属设施建设项目</t>
  </si>
  <si>
    <t>对恰尔巴格镇赛先拜巴扎（1）村商铺进行改造提升及配套附属设施建设。</t>
  </si>
  <si>
    <t>叶城县恰尔巴格镇十三针手套针织机设备采购项目</t>
  </si>
  <si>
    <t>计划采购290台十三针手套针织机等设施。</t>
  </si>
  <si>
    <t>组织部</t>
  </si>
  <si>
    <t>姚永硕</t>
  </si>
  <si>
    <t>叶城县2025年恰其库木农机维修服务建设项目</t>
  </si>
  <si>
    <t>新建30000平方米农机车辆维修场及配套附属设施</t>
  </si>
  <si>
    <t>叶城县2025年江格勒斯乡农机采购项目</t>
  </si>
  <si>
    <t>为江格勒斯乡采购一批农机具，主要为小麦、玉米联合收割机和分流式整地机。</t>
  </si>
  <si>
    <t>叶城县2025年巩固拓展脱贫攻坚成果同乡村振兴有效衔接项目库</t>
  </si>
  <si>
    <t>受益人口（人）</t>
  </si>
  <si>
    <t>责任单位</t>
  </si>
  <si>
    <t>计划实施批次</t>
  </si>
  <si>
    <t>（一）到户产业项目</t>
  </si>
  <si>
    <t>yc2025001</t>
  </si>
  <si>
    <t>叶城县2025年林果业品种优化补助项目</t>
  </si>
  <si>
    <t>巴仁乡、白杨镇、伯西热克镇、河园镇、江格勒斯乡、金果镇、洛克乡、棋盘乡、恰尔巴格镇、铁提乡、吐古其乡、乌夏巴什镇、依力克其乡、依提木孔镇、宗朗乡、乌吉热克乡</t>
  </si>
  <si>
    <t>项目总投资559.54万元
建设内容：林果业品种优化3303户13988.5亩，400元/亩，其中巴仁乡18户40.2亩、白杨镇239户638.6亩、伯西热克镇852户4696.8亩、河园镇218户1386.5亩、江格勒斯乡29户115.2亩、金果镇69户86.5亩、洛克乡446户1650.4亩、棋盘乡35户452亩、恰尔巴格镇21户57亩、铁提乡9户21.2亩、吐古其乡209户752.2亩、乌夏巴什镇387户1633.3亩、依力克其乡19户55.5亩、依提木孔镇318户1446亩、宗朗乡177户286亩、乌吉热克乡257户671.1亩。</t>
  </si>
  <si>
    <t>核桃产业化发展中心</t>
  </si>
  <si>
    <t>晁岱荣</t>
  </si>
  <si>
    <t>林果业</t>
  </si>
  <si>
    <t>储备</t>
  </si>
  <si>
    <t>yc2025002</t>
  </si>
  <si>
    <t>叶城县2025年林果业疏密改造补助项目</t>
  </si>
  <si>
    <t>巴仁乡、白杨镇、伯西热克镇、河园镇、金果镇、洛克乡、棋盘乡、恰尔巴格镇、铁提乡、吐古其乡、乌夏巴什镇、夏合甫乡、依提木孔镇、乌吉热克乡</t>
  </si>
  <si>
    <t>项目总投资873.424万元
建设内容：林果业疏密改造4606户21835.6亩，400元/亩，其中巴仁乡97户462.9亩、白杨镇234户1897.3亩、伯西热克镇534户1966亩、河园镇398户2557.2亩、金果镇16户16.6亩、洛克乡1250户5924.6亩、棋盘乡175户762亩、恰尔巴格镇236户1748亩、铁提乡290户815.3亩、吐古其乡323户1839.5亩、乌夏巴什镇2户3亩、夏合甫乡80户474亩、依提木孔镇653户2207亩、乌吉热克乡316户1162.2亩。</t>
  </si>
  <si>
    <t>yc2025003</t>
  </si>
  <si>
    <t>叶城县2025年核桃整形修剪补助项目</t>
  </si>
  <si>
    <t>巴仁乡、白杨镇、伯西热克镇、河园镇、江格勒斯乡、金果镇、柯克亚乡、洛克乡、棋盘乡、恰尔巴格镇、恰其库木管理区、铁提乡、吐古其乡、乌夏巴什镇、夏合甫乡、依力克其乡、依提木孔镇、宗朗乡、乌吉热克乡</t>
  </si>
  <si>
    <t>项目总投资978.73028万元
建设内容：核桃整形修剪13968户103024.24亩，95元/亩，其中巴仁乡266户2513.1亩、白杨镇102户1354.5亩、伯西热克镇1795户8693.3亩、河园镇1383户12199.95亩、江格勒斯乡511户4306.4亩、金果镇206户817.2亩、柯克亚乡25户116亩、洛克乡2157户13995.6亩、棋盘乡251户1936亩、恰尔巴格镇1044户8368.6亩、恰其库木管理区686户5456.25亩、铁提乡362户1433.9亩、吐古其乡1039户7930.98亩、乌夏巴什镇185户1084.3亩、夏合甫乡1132户11231亩、依力克其乡359户2423亩、依提木孔镇1409户11507亩、宗朗乡173户539亩、乌吉热克乡883户7118.16亩。</t>
  </si>
  <si>
    <t>yc2025004</t>
  </si>
  <si>
    <t>叶城县2025年杏病虫害防治补助项目</t>
  </si>
  <si>
    <t>伯西热克镇、金果镇、柯克亚乡、棋盘乡、乌夏巴什镇、依力克其乡、依提木孔镇、宗朗乡</t>
  </si>
  <si>
    <t>项目总投资133.279965万元
建设内容：杏病虫害防治2528户14029.47亩，95元/亩，其中伯西热克镇300户1422.3亩、金果镇11户20.3亩、柯克亚乡1户5亩、棋盘乡160户1760亩、乌夏巴什镇890户3639.77亩、依力克其乡537户3575.8亩、依提木孔镇4户11亩、宗朗乡625户3595.3亩。</t>
  </si>
  <si>
    <t>第一批</t>
  </si>
  <si>
    <t>yc2025005</t>
  </si>
  <si>
    <t>叶城县2025年林果业提质增效项目</t>
  </si>
  <si>
    <t>阿克塔什镇、巴仁乡、白杨镇、伯西热克镇、河园镇、江格勒斯乡、金果镇、洛克乡、棋盘乡、恰尔巴格镇、恰其库木管理区、铁提乡、吐古其乡、乌夏巴什镇、夏合甫乡、依力克其乡、依提木孔镇、乌吉热克乡</t>
  </si>
  <si>
    <t>项目总投资4416.3495万元
建设内容：林果提质增效23112户176653.98亩，250元/亩，主要用于购买油渣或化肥。其中阿克塔什镇1548户5100亩、巴仁乡591户6974.6亩、白杨镇1079户12069.89亩、伯西热克镇2703户11489.2亩、河园镇1700户14527.14亩、江格勒斯乡606户5400.3亩、金果镇506户2069.8亩、柯克亚乡26户99.5亩、洛克乡2258户14619.2亩、棋盘乡63户2152亩、恰尔巴格镇1668户18590.3亩、恰其库木管理区727户5649.5亩、铁提乡784户5234.06亩、吐古其乡1019户7408.42亩、乌吉热克乡1566户13747.95亩、乌夏巴什镇1158户5532.25亩、夏合甫乡1549户14946.47亩、依力克其乡1321户11481.5亩、依提木孔镇1495户12879.2亩、宗朗乡745户6682.7亩。</t>
  </si>
  <si>
    <t>yc2025006</t>
  </si>
  <si>
    <t>叶城县2025年小麦单产提升补助项目</t>
  </si>
  <si>
    <t>巴仁乡、白杨镇、伯西热克镇、河园镇、江格勒斯乡、金果镇、棋盘乡、恰尔巴格镇、铁提乡、吐古其乡、乌夏巴什镇、夏合甫乡、依力克其乡、依提木孔镇、宗朗乡、乌吉热克乡</t>
  </si>
  <si>
    <t>项目总投资1459.7574万元
建设内容：小麦单产提升（1.5%以上）12928户97317.16亩，150元/亩，其中巴仁乡283户2062.8亩、白杨镇888户9268.09亩、伯西热克镇1772户9894.2亩、河园镇943户5108.09亩、江格勒斯乡457户4164.29亩、金果镇158户1321.63亩、棋盘乡46户418.6亩、恰尔巴格镇381户2980.33亩、铁提乡532户2885.22亩、吐古其乡934户6348.52亩、乌吉热克乡802户8505.7亩、乌夏巴什镇1525户9996.79亩、夏合甫乡1124户10979.7亩、依力克其乡1100户10370.1亩、依提木孔镇1140户7329.7亩、宗朗乡843户5683.4亩。</t>
  </si>
  <si>
    <t>种植业</t>
  </si>
  <si>
    <t>第二批</t>
  </si>
  <si>
    <t>yc2025007</t>
  </si>
  <si>
    <t>叶城县2025年玉米单产提升补助项目</t>
  </si>
  <si>
    <t>巴仁乡、白杨镇、伯西热克镇、河园镇、金果镇、柯克亚乡、棋盘乡、恰尔巴格镇、铁提乡、吐古其乡、乌夏巴什镇、夏合甫乡、依力克其乡、依提木孔镇、宗朗乡、乌吉热克乡</t>
  </si>
  <si>
    <t>项目总投资1181.27175万元
建设内容：玉米单产提升（3%以上）10481户78751.45亩，150元/亩，其中巴仁乡322户2048.4亩、白杨镇619户4941.85亩、伯西热克镇1278户6620.3亩、河园镇1007户6057.26亩、江格勒斯乡148户1209.6亩、金果镇92户461.43亩、柯克亚乡125户828.7亩、棋盘乡140户3500亩、恰尔巴格镇232户1419.4亩、铁提乡401户1956.9亩、吐古其乡848户5208.98亩、乌吉热克乡477户3652.9亩、乌夏巴什镇1996户15091.43亩、夏合甫乡327户6385亩、依力克其乡655户3382.6亩、依提木孔镇782户4643.4亩、宗朗乡1032户11343.3亩。</t>
  </si>
  <si>
    <t>yc2025008</t>
  </si>
  <si>
    <t>叶城县2025年滴灌灌溉补助项目</t>
  </si>
  <si>
    <t>巴仁乡、白杨镇、伯西热克镇、河园镇、江格勒斯乡、恰尔巴格镇、恰其库木管理区、铁提乡、吐古其乡、乌夏巴什镇、夏合甫乡、依力克其乡、依提木孔镇、宗朗乡</t>
  </si>
  <si>
    <t>项目总投资100.1349万元
建设内容：滴灌灌溉补助4282户33378.3亩，30元/亩，其中巴仁乡315户1726.3亩、白杨镇395户3639.2亩、伯西热克镇94户892.2亩、河园镇37户353.5亩、江格勒斯乡47户579.7亩、恰尔巴格镇365户4320亩、恰其库木管理区744户8940亩、铁提乡174户1246亩、吐古其乡354户1460.5亩、乌夏巴什镇184户3264亩、夏合甫乡677户2200亩、依力克其乡281户1500.1亩、依提木孔镇454户757亩、宗朗乡18户1459亩、乌吉热克乡143户1040.8亩。</t>
  </si>
  <si>
    <t>yc2025009</t>
  </si>
  <si>
    <t>叶城县2025年托管服务补助项目</t>
  </si>
  <si>
    <t>农业社会化服务</t>
  </si>
  <si>
    <t>白杨镇、吐古其乡、乌夏巴什镇、依力克其乡、依提木孔镇、乌吉热克乡</t>
  </si>
  <si>
    <t>项目总投资35.003万元
建设内容：托管服务补助403户3500.3亩，100元/亩，其中白杨镇23户250亩、吐古其乡25户110亩、乌夏巴什镇211户1912亩、依力克其乡61户531.3亩、依提木孔镇67户522亩、乌吉热克乡16户175亩。</t>
  </si>
  <si>
    <t>农业经济发展服务中心</t>
  </si>
  <si>
    <t>范勇</t>
  </si>
  <si>
    <t>yc2025010</t>
  </si>
  <si>
    <t>叶城县2025年设施农业菜苗补助</t>
  </si>
  <si>
    <t>阿克塔什镇、巴仁乡、白杨镇、伯西热克镇、河园镇、恰尔巴格镇、铁提乡、吐古其乡、夏合甫乡、依力克其乡、依提木孔镇</t>
  </si>
  <si>
    <t>项目总投资289.57455万元
建设内容：菜苗补助2772户6434.99亩，450元/亩，其中阿克塔什镇80户240亩、巴仁乡439户2497.7亩、白杨镇468户1738.81亩、伯西热克镇163户273.6亩、河园镇29户255亩、恰尔巴格镇76户145亩、铁提乡28户84亩、吐古其乡536户288.88亩、夏合甫乡514户783亩、依力克其乡35户56亩、依提木孔镇404户73亩。</t>
  </si>
  <si>
    <t>高华江</t>
  </si>
  <si>
    <t>庭院经济</t>
  </si>
  <si>
    <t>yc2025011</t>
  </si>
  <si>
    <t>叶城县2025年大棚改造提升补助项目</t>
  </si>
  <si>
    <t>阿克塔什镇、恰尔巴格镇、吐古其乡、依提木孔镇</t>
  </si>
  <si>
    <t>项目总投资75.705万元
建设内容：大棚改造178户504.7亩，1500元/亩，其中阿克塔什镇60户200亩、恰尔巴格镇8户25亩、吐古其乡55户181.7亩、依提木孔镇55户98亩。</t>
  </si>
  <si>
    <t>yc2025012</t>
  </si>
  <si>
    <t>叶城县2025年拱棚改造提升补助项目</t>
  </si>
  <si>
    <t>白杨镇、伯西热克镇、河园镇、江格勒斯乡、金果镇、恰尔巴格镇、吐古其乡、夏合甫乡、依提木孔镇、宗朗乡、乌吉热克乡</t>
  </si>
  <si>
    <t>项目总投资24.9396万元
建设内容：拱棚改造提升1137户831.32亩，300元/亩，其中白杨镇23户23.2亩、伯西热克镇243户161.9亩、河园镇8户60.6亩、江格勒斯乡32户27.8亩、金果镇21户23.2亩、恰尔巴格镇60户40.6亩、吐古其乡466户246.42亩、夏合甫乡70户30亩、依提木孔镇97户122亩、宗朗乡1户25亩、乌吉热克乡116户70.6亩。</t>
  </si>
  <si>
    <t>yc2025013</t>
  </si>
  <si>
    <t>叶城县2025年发展家庭特色种植</t>
  </si>
  <si>
    <t>巴仁乡、白杨镇、伯西热克镇、河园镇、江格勒斯乡、金果镇、洛克乡、棋盘乡、恰尔巴格镇、恰其库木管理区、铁提乡、吐古其乡、乌夏巴什镇、夏合甫乡、依力克其乡、依提木孔镇、宗朗乡、乌吉热克乡</t>
  </si>
  <si>
    <t>项目总投资650.341万元
建设内容：发展家庭特色种植13744户6503.41亩，1000元/亩，其中巴仁乡480户139.6亩、白杨镇902户457.2亩、伯西热克镇2077户824.3亩、河园镇186户496.6亩、江格勒斯乡944户446.4亩、金果镇230户59.35亩、洛克乡1113户433.2亩、棋盘乡109户56亩、恰尔巴格镇657户211亩、恰其库木管理区945户348亩、铁提乡180户46亩、吐古其乡877户376.2亩、乌夏巴什镇1239户1106.2亩、夏合甫乡1579户615亩、依力克其乡930户310.16亩、依提木孔镇539户157.3亩、宗朗乡622户368.1亩、乌吉热克乡135户52.8亩。</t>
  </si>
  <si>
    <t>yc2025014</t>
  </si>
  <si>
    <t>叶城县2025年引进良种母牛补助项目</t>
  </si>
  <si>
    <t>阿克塔什镇、巴仁乡、白杨镇、伯西热克镇、河园镇、江格勒斯乡、金果镇、柯克亚乡、洛克乡、棋盘乡、恰尔巴格镇、恰其库木管理区、铁提乡、吐古其乡、乌吉热克乡户头、乌夏巴什镇、夏合甫乡、依力克其乡、依提木孔镇、宗朗乡、东城、中城、乌吉热克乡</t>
  </si>
  <si>
    <t>项目总投资2954.4万元
建设内容：引进良种母牛5250户7386头，4000元/头，其中阿克塔什镇350户500头、巴仁乡98户173头、白杨镇137户176头、伯西热克镇785户1088头、河园镇155户297头、江格勒斯乡11户14头、金果镇28户57头、柯克亚乡68户121头、洛克乡295户432头、棋盘乡2户5头、恰尔巴格镇751户1043头、恰其库木管理区111户165头、铁提乡131户190头、吐古其乡359户440头、乌吉热克乡户头、乌夏巴什镇341户551头、夏合甫乡806户939头、依力克其乡111户137头、依提木孔镇182户264头、宗朗乡266户468头、东城16户26头、中城126户126头、乌吉热克乡121户174头。</t>
  </si>
  <si>
    <t>头</t>
  </si>
  <si>
    <t>畜牧园区管委会</t>
  </si>
  <si>
    <t>周学鹏</t>
  </si>
  <si>
    <t>养殖业</t>
  </si>
  <si>
    <t>yc2025015</t>
  </si>
  <si>
    <t>叶城县2025年引进良种母羊补助项目</t>
  </si>
  <si>
    <t>阿克塔什镇、巴仁乡、白杨镇、伯西热克镇、河园镇、江格勒斯乡、金果镇、柯克亚乡、洛克乡、恰尔巴格镇、恰其库木管理区、铁提乡、吐古其乡、乌夏巴什镇、夏合甫乡、依力克其乡、依提木孔镇、宗朗乡、东城、中城、乌吉热克乡</t>
  </si>
  <si>
    <t>项目总投资1127.96万元
建设内容：引进良种母羊6345户28199只，400元/只，其中阿克塔什镇400户1200只、巴仁乡81户429只、白杨镇191户542只、伯西热克镇902户5712只、河园镇508户2528只、江格勒斯乡30户147只、金果镇26户178只、柯克亚乡29户336只、洛克乡219户1054只、恰尔巴格镇1080户4674只、恰其库木管理区45户175只、铁提乡140户518只、吐古其乡835户2360只、乌夏巴什镇167户1006只、夏合甫乡840户2116只、依力克其乡94户264只、依提木孔镇199户1030只、宗朗乡296户2398只、东城9户82只、中城120户500只、乌吉热克乡134户950只。</t>
  </si>
  <si>
    <t>只</t>
  </si>
  <si>
    <t>yc2025016</t>
  </si>
  <si>
    <t>叶城县2025年自繁良种母牛补助项目</t>
  </si>
  <si>
    <t>阿克塔什镇、巴仁乡、白杨镇、伯西热克镇、河园镇、江格勒斯乡、金果镇、柯克亚乡、洛克乡、棋盘乡、恰尔巴格镇、恰其库木管理区、铁提乡、吐古其乡、乌夏巴什镇、西合休乡、夏合甫乡、依力克其乡、依提木孔镇、宗朗乡、东城、中城、乌吉热克乡</t>
  </si>
  <si>
    <t>项目总投资5484.6万元
建设内容：自繁良种母牛12014户18282头，3000元/头，其中阿克塔什镇325户900头、巴仁乡197户315头、白杨镇418户628头、伯西热克镇1292户2069头、河园镇217户427头、江格勒斯乡221户258头、金果镇98户184头、柯克亚乡191户453头、洛克乡978户2005头、棋盘乡316户1044头、恰尔巴格镇763户936头、恰其库木管理区194户194头、铁提乡349户631头、吐古其乡708户862头、乌夏巴什镇1021户1875头、西合休乡1016户1016头、夏合甫乡841户965头、依力克其乡506户727头、依提木孔镇817户1070头、宗朗乡433户480头、东城91户91头、中城471户471头、乌吉热克乡551户681头。</t>
  </si>
  <si>
    <t>yc2025017</t>
  </si>
  <si>
    <t>叶城县2025年自繁良种母羊补助项目</t>
  </si>
  <si>
    <t>项目总投资3070.02万元
建设内容：自繁良种母羊18404户102788只，300元/只，其中阿克塔什镇780户5200只、巴仁乡364户1808只、白杨镇727户3401只、伯西热克镇2240户11774只、河园镇678户3372只、江格勒斯乡373户1483只、金果镇268户1104只、柯克亚乡281户3495只、洛克乡1559户12027只、棋盘乡361户5701只、恰尔巴格镇1066户4690只、恰其库木管理区227户830只、铁提乡503户2083只、吐古其乡1074户3986只、乌夏巴什镇1494户12477只、西合休乡1016户5080只、夏合甫乡1031户3429只、依力克其乡733户3407只、依提木孔镇1212户5237只、宗朗乡568户3066只、东城370户1846只、中城624户3590只、乌吉热克乡855户3702只。</t>
  </si>
  <si>
    <t>yc2025018</t>
  </si>
  <si>
    <t>叶城县2025年鸡养殖补助项目</t>
  </si>
  <si>
    <t>巴仁乡、白杨镇、伯西热克镇、河园镇、江格勒斯乡、金果镇、洛克乡、棋盘乡、恰尔巴格镇、恰其库木管理区、铁提乡、吐古其乡、夏合甫乡、依力克其乡、依提木孔镇、宗朗乡、乌吉热克乡</t>
  </si>
  <si>
    <t>项目总投资220.982万元
建设内容：鸡养殖4231户220982羽，10元/羽，其中巴仁乡25户1600羽、白杨镇112户7070羽、伯西热克镇313户22103羽、河园镇263户13090羽、江格勒斯乡264户13420羽、金果镇10户6810羽、洛克乡299户18701羽、棋盘乡111户3830羽、恰尔巴格镇689户17930羽、恰其库木管理区239户11950羽、铁提乡104户10471羽、吐古其乡950户35215羽、夏合甫乡143户7160羽、依力克其乡193户17717羽、依提木孔镇397户27485羽、宗朗乡81户5210羽、乌吉热克乡38户1220羽。</t>
  </si>
  <si>
    <t>羽</t>
  </si>
  <si>
    <t>yc2025019</t>
  </si>
  <si>
    <t>叶城县2025年鸭养殖补助项目</t>
  </si>
  <si>
    <t>白杨镇、伯西热克镇、河园镇、江格勒斯乡、金果镇、洛克乡、恰尔巴格镇、铁提乡、吐古其乡、夏合甫乡、依提木孔镇、乌吉热克乡</t>
  </si>
  <si>
    <t>项目总投资37.8万元
建设内容：鸭养殖1007户37800羽，10元/羽，其中白杨镇10户720羽、伯西热克镇88户6683羽、河园镇35户1630羽、江格勒斯乡68户3453羽、金果镇2户100羽、洛克乡101户5567羽、恰尔巴格镇98户3898羽、铁提乡12户600羽、吐古其乡510户10879羽、夏合甫乡67户3350羽、依提木孔镇12户800羽、乌吉热克乡4户120羽。</t>
  </si>
  <si>
    <t>yc2025020</t>
  </si>
  <si>
    <t>叶城县2025年鹅养殖补助项目</t>
  </si>
  <si>
    <t>伯西热克镇、河园镇、江格勒斯乡、洛克乡、恰尔巴格镇、恰其库木管理区、铁提乡、吐古其乡、夏合甫乡、依力克其乡、依提木孔镇、宗朗乡、乌吉热克乡</t>
  </si>
  <si>
    <t>项目总投资44.766万元
建设内容：鹅养殖973户44766羽，10元/羽，其中伯西热克镇277户18600羽、河园镇8户430羽、江格勒斯乡12户650羽、洛克乡78户5567羽、恰尔巴格镇135户5965羽、恰其库木管理区50户2500羽、铁提乡3户300羽、吐古其乡348户8139羽、夏合甫乡20户1100羽、依力克其乡2户110羽、依提木孔镇3户300羽、宗朗乡7户320羽、乌吉热克乡30户785羽。</t>
  </si>
  <si>
    <t>yc2025021</t>
  </si>
  <si>
    <t>叶城县2025年肉鸽养殖补助项目</t>
  </si>
  <si>
    <t>白杨镇、伯西热克镇、河园镇、江格勒斯乡、棋盘乡、恰尔巴格镇、铁提乡、吐古其乡、乌夏巴什镇羽、夏合甫乡、依提木孔镇、宗朗乡、乌吉热克乡</t>
  </si>
  <si>
    <t>项目总投资92.033万元
建设内容：肉鸽养殖的1389户92033羽，10元/羽，其中白杨镇36户3650羽、伯西热克镇159户15528羽、河园镇26户2680羽、江格勒斯乡30户3200羽、棋盘乡91户4940羽、恰尔巴格镇186户7210羽、铁提乡42户4117羽、吐古其乡650户37578羽、乌夏巴什镇45户4650羽、夏合甫乡64户2540羽、依提木孔镇55户5520羽、宗朗乡2户200羽、乌吉热克乡3户220羽。</t>
  </si>
  <si>
    <t>yc2025022</t>
  </si>
  <si>
    <t>叶城县2025年新建青贮窖补助项目</t>
  </si>
  <si>
    <t>白杨镇、伯西热克镇、河园镇、洛克乡、恰尔巴格镇、铁提乡、吐古其乡、乌夏巴什镇、夏合甫乡、依提木孔镇、宗朗乡、乌吉热克乡</t>
  </si>
  <si>
    <t>项目总投资30.1万元
建设内容：新建青贮窖286户286座，1000元/座，其中白杨镇12户12座、伯西热克镇47户49座、河园镇6户6座、洛克乡1户1座、恰尔巴格镇27户27座、铁提乡1户1座、吐古其乡42户42座、乌夏巴什镇7户7座、夏合甫乡7户7座、依提木孔镇61户63座、宗朗乡30户30座、乌吉热克乡41户41座。</t>
  </si>
  <si>
    <t>yc2025023</t>
  </si>
  <si>
    <t>叶城县2025年改造青贮窖补助项目</t>
  </si>
  <si>
    <t>白杨镇、伯西热克镇、恰尔巴格镇、吐古其乡、乌夏巴什镇、夏合甫乡、依提木孔镇、宗朗乡、乌吉热克乡</t>
  </si>
  <si>
    <t>项目总投资15.3万元
建设内容：改造青贮窖143户153座，1000元/座，其中白杨镇3户3座、伯西热克镇27户27座、恰尔巴格镇9户9座、吐古其乡37户37座、乌夏巴什镇10户13座、夏合甫乡3户3座、依提木孔镇31户38座、宗朗乡20户20座、乌吉热克乡3户3座。</t>
  </si>
  <si>
    <t>yc2025024</t>
  </si>
  <si>
    <t>叶城县2025年养殖圈舍设施改造补助项目</t>
  </si>
  <si>
    <t>白杨镇、伯西热克镇、河园镇、江格勒斯乡、棋盘乡、恰尔巴格镇、铁提乡、吐古其乡、乌夏巴什镇、夏合甫乡、依提木孔镇、宗朗乡、乌吉热克乡</t>
  </si>
  <si>
    <t>项目总投资248.5万元
建设内容：养殖圈舍设施改造2359户2485座，1000元/座，其中白杨镇447户447座、伯西热克镇95户95座、河园镇128户254座、江格勒斯乡256户256座、棋盘乡83户83座、恰尔巴格镇283户283座、铁提乡5户5座、吐古其乡764户764座、乌夏巴什镇15户15座、夏合甫乡6户6座、依提木孔镇116户116座、宗朗乡113户113座、乌吉热克乡48户48座。</t>
  </si>
  <si>
    <t>yc2025025</t>
  </si>
  <si>
    <t>叶城县2025年饲草料压制发酵补助项目</t>
  </si>
  <si>
    <t>白杨镇、伯西热克镇、河园镇、江格勒斯乡、金果镇、洛克乡、恰尔巴格镇、铁提乡、吐古其乡、乌夏巴什镇、夏合甫乡、依提木孔镇、宗朗乡、乌吉热克乡</t>
  </si>
  <si>
    <t>项目总投资287.3605万元
建设内容：饲草料压制发酵2071户57472.1吨，50元/吨，其中白杨镇18户688吨、伯西热克镇326户15295吨、河园镇86户1545吨、江格勒斯乡61户2079吨、金果镇23户557吨、洛克乡144户4459吨、恰尔巴格镇180户800吨、铁提乡130户2112吨、吐古其乡150户7373吨、乌夏巴什镇279户3358吨、夏合甫乡45户570吨、依提木孔镇358户8858吨、宗朗乡203户6514吨、乌吉热克乡68户3264.1吨。</t>
  </si>
  <si>
    <t>吨</t>
  </si>
  <si>
    <t>yc2025026</t>
  </si>
  <si>
    <t>叶城县2025年核桃提质增效石硫合剂涂白剂补助项目</t>
  </si>
  <si>
    <t>巴仁乡、白杨镇、伯西热克镇、河园镇、金果镇、柯克亚乡、洛克乡、恰尔巴格镇、铁提乡、吐古其乡、夏合甫乡、依力克其乡、依提木孔镇、宗朗乡、乌吉热克乡</t>
  </si>
  <si>
    <t>项目总投资560.81144万元
建设内容：核桃提质增效石硫合剂涂白剂补助16785户140202.86亩，40元/亩，其中巴仁乡594户6854.3亩、白杨镇980户10574.87亩、伯西热克镇2174户9111亩、河园镇1917户15352.11亩、金果镇53户2066.6亩、柯克亚乡304户1281.6亩、洛克乡1927户13468.5亩、恰尔巴格镇1655户17210.8亩、铁提乡106户584亩、吐古其乡946户8444.48亩、夏合甫乡1278户11960亩、依力克其乡1219户10665.1亩、依提木孔镇1217户10350亩、宗朗乡895户8098.3亩、乌吉热克乡1520户14181.2亩。</t>
  </si>
  <si>
    <t>叶城县2025年小额贷款贴息</t>
  </si>
  <si>
    <t>小额贷款贴息</t>
  </si>
  <si>
    <t>项目总投资1000万元
建设内容：为全县32673户脱贫户、10185户监测户实施小额贷款贴息补助。</t>
  </si>
  <si>
    <t>户</t>
  </si>
  <si>
    <t>唐俊</t>
  </si>
  <si>
    <t>（二）粮食产能提质增效</t>
  </si>
  <si>
    <t>yc2025028</t>
  </si>
  <si>
    <t>项目总投资630万元
建设内容：林粮间作节水3500亩，1800元/亩，配套沉砂池、泵房及电力设施等。</t>
  </si>
  <si>
    <t>叶城县2025年白杨镇林粮间作节水项目</t>
  </si>
  <si>
    <t>项目总投资1075.63万元
建设内容：林粮间作节水5975.7亩，1800元/亩，配套沉砂池、泵房及电力设施等。</t>
  </si>
  <si>
    <t>项目总投资1529.88万元
建设内容：林粮间作节水7600亩，1800元/亩，配套沉砂池、泵房及电力设施等。</t>
  </si>
  <si>
    <t>yc2025031</t>
  </si>
  <si>
    <t>项目总投资1180.8万元
建设内容：林粮间作节水6560亩，1800元/亩，配套沉砂池、泵房及电力设施等。</t>
  </si>
  <si>
    <t>叶城县2025年江格勒斯乡林粮间作节水项目</t>
  </si>
  <si>
    <t>项目总投资1248.66万元
建设内容：林粮间作节水6937亩，1800元/亩，配套沉砂池、泵房及电力设施等。</t>
  </si>
  <si>
    <t>项目总投资270万元
建设内容：林粮间作节水1500亩，1800元/亩，配套沉砂池、泵房及电力设施等。</t>
  </si>
  <si>
    <t>项目总投资882万元
建设内容：林粮间作节水4900亩，1800元/亩，配套沉砂池、泵房及电力设施等。</t>
  </si>
  <si>
    <t>项目总投资1273.68万元
建设内容：林粮间作节水7076亩，1800元/亩，配套沉砂池、泵房及电力设施等。</t>
  </si>
  <si>
    <t>项目总投资876万元
建设内容：林粮间作节水4870亩，1800元/亩，配套沉砂池、泵房及电力设施等。</t>
  </si>
  <si>
    <t>项目总投资783万元
建设内容：林粮间作节水4350亩，1800元/亩，配套沉砂池、泵房及电力设施等。</t>
  </si>
  <si>
    <t>项目总投资876.24万元
建设内容：林粮间作节水4868亩，1800元/亩，配套沉砂池、泵房及电力设施等。</t>
  </si>
  <si>
    <t>项目总投资858.6万元
建设内容：林粮间作节水4770亩，1800元/亩，配套沉砂池、泵房及电力设施等。</t>
  </si>
  <si>
    <t>项目总投资897.66万元
建设内容：林粮间作节水4987亩，1800元/亩，配套沉砂池、泵房及电力设施等。</t>
  </si>
  <si>
    <t>叶城县2025年依力克其乡林粮间作节水项目</t>
  </si>
  <si>
    <t>项目总投资1100.7万元
建设内容：林粮间作节水6115亩，1800元/亩，配套沉砂池、泵房及电力设施等。</t>
  </si>
  <si>
    <t>yc2025042</t>
  </si>
  <si>
    <t>项目总投资2635.2万元
建设内容：林粮间作节水14640亩，1800元/亩，配套沉砂池、泵房及电力设施等。</t>
  </si>
  <si>
    <t>yc2025043</t>
  </si>
  <si>
    <t>叶城县2025年宗朗乡林粮间作节水项目</t>
  </si>
  <si>
    <t>项目总投资441万元
建设内容：林粮间作节水2450亩，1800元/亩，配套沉砂池、泵房及电力设施等。</t>
  </si>
  <si>
    <t>yc2025044</t>
  </si>
  <si>
    <t>叶城县2025年白杨镇土地碎片化建设项目</t>
  </si>
  <si>
    <t>项目总投资413.25万元
建设内容：实施土地碎片化2755亩，1500元/亩。</t>
  </si>
  <si>
    <t>yc2025045</t>
  </si>
  <si>
    <t>叶城县2025年伯西热克镇土地碎片化建设项目</t>
  </si>
  <si>
    <t>项目总投资750万元
建设内容：实施土地碎片化5000亩，1500元/亩。</t>
  </si>
  <si>
    <t>yc2025046</t>
  </si>
  <si>
    <t>叶城县2025年江格勒斯乡土地碎片化建设项目</t>
  </si>
  <si>
    <t>项目总投资900万元
建设内容：实施土地碎片化6000亩，1500元/亩。</t>
  </si>
  <si>
    <t>叶城县2025年金果镇土地碎片化建设项目</t>
  </si>
  <si>
    <t>项目总投资42万元
建设内容：实施土地碎片化280亩，1500元/亩。</t>
  </si>
  <si>
    <t>yc2025048</t>
  </si>
  <si>
    <t>项目总投资225万元
建设内容：实施土地碎片化1500亩，1500元/亩。</t>
  </si>
  <si>
    <t>yc2025049</t>
  </si>
  <si>
    <t>叶城县2025年恰尔巴格镇土地碎片化建设项目</t>
  </si>
  <si>
    <t>项目总投资595.5万元
建设内容：实施土地碎片化3970亩，1500元/亩。</t>
  </si>
  <si>
    <t>yc2025050</t>
  </si>
  <si>
    <t>叶城县2025年恰其库木管理区土地碎片化建设项目</t>
  </si>
  <si>
    <t>项目总投资1627.5万元
建设内容：实施土地碎片化10850亩，1500元/亩。</t>
  </si>
  <si>
    <t>yc2025051</t>
  </si>
  <si>
    <t>叶城县2025年乌吉热克乡土地碎片化建设项目</t>
  </si>
  <si>
    <t>项目总投资1014.75万元
建设内容：实施土地碎片化6765亩，1500元/亩。</t>
  </si>
  <si>
    <t>yc2025052</t>
  </si>
  <si>
    <t>叶城县2025年夏合甫乡土地碎片化建设项目</t>
  </si>
  <si>
    <t>项目总投资525.6万元
建设内容：实施土地碎片化3504亩，1500元/亩。</t>
  </si>
  <si>
    <t>yc2025053</t>
  </si>
  <si>
    <t>叶城县2025年依力克其乡土地碎片化建设项目</t>
  </si>
  <si>
    <t>项目总投资322.5万元
建设内容：实施土地碎片化2150亩，1500元/亩。</t>
  </si>
  <si>
    <t>yc2025054</t>
  </si>
  <si>
    <t>叶城县2025年依提木孔镇土地碎片化建设项目</t>
  </si>
  <si>
    <t>项目总投资1200万元
建设内容：实施土地碎片化8000亩，1500元/亩。</t>
  </si>
  <si>
    <t>yc2025055</t>
  </si>
  <si>
    <t>叶城县2025年宗朗乡土地碎片化建设项目</t>
  </si>
  <si>
    <t>项目总投资616.5万元
建设内容：实施土地碎片化4110亩，1500元/亩。</t>
  </si>
  <si>
    <t>（三）林果产业提质增效</t>
  </si>
  <si>
    <t>yc2025056</t>
  </si>
  <si>
    <t>叶城县2024年伯西热克镇石榴定植项目</t>
  </si>
  <si>
    <t>项目总投资120万元
建设内容：种植石榴600亩，2000元/亩。</t>
  </si>
  <si>
    <t>yc2025057</t>
  </si>
  <si>
    <t>叶城县2025年林果整形修剪项目</t>
  </si>
  <si>
    <t>江格勒斯乡、洛克乡、恰尔巴格镇、巴仁乡、吐古其乡、河园镇、恰其库木管理区、伯西热克镇、乌吉热克乡、依提木孔镇、白杨镇、夏合甫乡、依力克其乡、铁提乡</t>
  </si>
  <si>
    <t>项目总投资528万元
建设内容：林果业整形修剪补助6.6万亩，每亩80元，其中：江格勒斯乡6000亩、洛克乡3000亩、恰尔巴格镇5000亩、巴仁乡4000亩、吐古其乡3000亩、河园镇6000亩、恰其库木管理区3000亩、伯西热克镇5000亩、乌吉热克乡6000亩、依提木孔镇6000亩、白杨镇6000亩、夏合甫乡5000亩、依力克其乡4000亩、铁提乡4000亩。</t>
  </si>
  <si>
    <t>万亩</t>
  </si>
  <si>
    <t>yc2025058</t>
  </si>
  <si>
    <t>叶城县2025年林果高产示范园建设项目</t>
  </si>
  <si>
    <t>白杨镇、河园镇、江格勒斯乡、恰尔巴格镇、恰其库木管理区、吐古其乡、乌吉热克乡、夏合甫乡、依力克其乡、依提木孔镇</t>
  </si>
  <si>
    <t>项目总投资2557.35万元
建设内容：建设林果高产示范园34098亩，750元/亩，包含复合肥、尿素、修剪、嫁接等。其中白杨镇2345亩、河园镇2000亩、江格勒斯乡1248亩、恰尔巴格镇2898亩、恰其库木管理区300亩、吐古其乡3559亩、乌吉热克乡4588亩、夏合甫乡3800亩、依力克其乡360亩、依提木孔镇13000亩。</t>
  </si>
  <si>
    <t>yc2025059</t>
  </si>
  <si>
    <t>叶城县2025年林场特色产业发展建设项目</t>
  </si>
  <si>
    <t>林场</t>
  </si>
  <si>
    <t>项目总投资85万元
建设内容：特色林果基地建设200亩，嫁接紫皮核桃改优品种，投资45万元；发展林下种养基地60亩，投资30万元；新建育苗基地20亩，主要进行杨树、柳树、沙枣等育苗，投资10万元。</t>
  </si>
  <si>
    <t>yc2025060</t>
  </si>
  <si>
    <t>叶城县2025年林果有害生物飞防项目</t>
  </si>
  <si>
    <t>项目总投资1800万元
建设内容：针对60万亩林果春尺蠖、黄刺蛾、蚜虫、红蜘蛛等病虫害进行飞防两遍，共计120万亩次，15元/亩/次。</t>
  </si>
  <si>
    <t>yc2025061</t>
  </si>
  <si>
    <t>叶城县2025年核桃蛀果害虫防治项目</t>
  </si>
  <si>
    <t>项目总投资2400万元
建设内容：20万亩核桃蛀果害虫防治，120元/亩。</t>
  </si>
  <si>
    <t>（四）蔬菜、花卉产业提质增效</t>
  </si>
  <si>
    <t>yc2025062</t>
  </si>
  <si>
    <t>叶城县2024年吐古其乡特色种植项目</t>
  </si>
  <si>
    <t>项目总投资182.8万元
建设内容：1.采购可食药用玫瑰花18万株，每珠8元，资金144万元；
2.采购800亩地豇豆种子（拱棚种植），每亩地1.1公斤，每公斤100元，资金8.8万元；
3.采购500亩地订单辣椒苗，每亩地3000株，每株0.2元，资金30万元。</t>
  </si>
  <si>
    <t>yc2025063</t>
  </si>
  <si>
    <t>叶城县2025年白杨镇设施农业提升改造建设项目</t>
  </si>
  <si>
    <t>白杨镇5村、12村</t>
  </si>
  <si>
    <t>项目总投资69.89万元
建设内容：5村32座温室大棚更换棚膜（55米*12米，每座1个）、棉被（11米*2.2米，每座30个）、滴灌（500米硬管，1600米软管）、电线（带皮高压线450米，普通电线1600米），1.9万元/座；18座小拱棚更换棚膜(25米*9米，每座1个），300元/座、31座大拱棚更换棚膜（30米*9米，每座1个）、铁架（弯宽6米每座18个，直21米每座3个），500元/座。12村6个大棚墙体改造提升，35个大棚更换棚膜，配套电力设施。</t>
  </si>
  <si>
    <t>yc2025064</t>
  </si>
  <si>
    <t>叶城县2025年戈壁产业温室大棚建设项目（一期）</t>
  </si>
  <si>
    <t>洛克乡1村（蔬菜产业基地）</t>
  </si>
  <si>
    <t>项目总投资2800万元
建设内容：建设温室大棚50000㎡（折合50M*10M标准棚100座），25万元/座。配套沉砂池、引水渠、电力等基础设施。</t>
  </si>
  <si>
    <t>yc2025065</t>
  </si>
  <si>
    <t>项目总投资2980万元
建设内容：新建智能连栋温室5000㎡，连栋温室30000㎡，面包棚14000㎡，及相关配套附属设施。</t>
  </si>
  <si>
    <t>万平方米</t>
  </si>
  <si>
    <t>yc2025066</t>
  </si>
  <si>
    <t>叶城县2025年金果镇10村花卉市场建设项目</t>
  </si>
  <si>
    <t>市场建设和农村物流</t>
  </si>
  <si>
    <t>金果镇10村</t>
  </si>
  <si>
    <t>项目总投资2900万元
建设内容：新建2000㎡花卉市场及附属配套，占地30亩。</t>
  </si>
  <si>
    <t>（五）畜牧产业提质增效</t>
  </si>
  <si>
    <t>叶城县2025年养殖区粪污处理建设项目</t>
  </si>
  <si>
    <t>扩建</t>
  </si>
  <si>
    <t>洛克乡1村</t>
  </si>
  <si>
    <r>
      <rPr>
        <sz val="20"/>
        <rFont val="仿宋"/>
        <charset val="134"/>
      </rPr>
      <t>项目总投资2000万元
建设内容：生猪养殖区建设120m</t>
    </r>
    <r>
      <rPr>
        <sz val="20"/>
        <rFont val="宋体"/>
        <charset val="134"/>
      </rPr>
      <t>³</t>
    </r>
    <r>
      <rPr>
        <sz val="20"/>
        <rFont val="仿宋"/>
        <charset val="134"/>
      </rPr>
      <t>集粪池1座、20m</t>
    </r>
    <r>
      <rPr>
        <sz val="20"/>
        <rFont val="宋体"/>
        <charset val="134"/>
      </rPr>
      <t>³</t>
    </r>
    <r>
      <rPr>
        <sz val="20"/>
        <rFont val="仿宋"/>
        <charset val="134"/>
      </rPr>
      <t>集粪池6座、0.7万m</t>
    </r>
    <r>
      <rPr>
        <sz val="20"/>
        <rFont val="宋体"/>
        <charset val="134"/>
      </rPr>
      <t>³</t>
    </r>
    <r>
      <rPr>
        <sz val="20"/>
        <rFont val="仿宋"/>
        <charset val="134"/>
      </rPr>
      <t>污水收集池2座，配套固液干湿分离设备7台/套，铺设DE500HDPE管道约1800公里、矩形渠道约1000公里、污水处理设施设备2台/套及附属设施设备等。家禽养殖小区新建200㎡堆粪场15座、100㎡堆粪场7座。</t>
    </r>
  </si>
  <si>
    <t>个</t>
  </si>
  <si>
    <t>yc2025070</t>
  </si>
  <si>
    <t>叶城县2025年肉羊人工授精产业项目</t>
  </si>
  <si>
    <t>产业科技服务</t>
  </si>
  <si>
    <t>项目总投资500万元
建设内容：购买肉羊同期发情人工授精技术服务，完成全县10万只肉羊同期发情人工授精进，一步提高肉羊经济效益，带动养殖户增产增效。</t>
  </si>
  <si>
    <t>万只</t>
  </si>
  <si>
    <t>yc2025071</t>
  </si>
  <si>
    <t>叶城县2025年肉牛人工授精产业项目</t>
  </si>
  <si>
    <t>项目总投资200万元
建设内容：购买肉牛性控冻精同期发情人工授精技术服务，完成全县1万头肉牛同期发情人工授精，进一步提高肉牛经济效益，带动养殖户增产增效。</t>
  </si>
  <si>
    <t>万头</t>
  </si>
  <si>
    <t>yc2025072</t>
  </si>
  <si>
    <t>叶城县2025年渔业种苗培育中心建设项目</t>
  </si>
  <si>
    <t>项目总投资395万元
建设内容:建设水产渔业育苗培育中心，鱼苗等繁育基地，水产饲料加工车间。</t>
  </si>
  <si>
    <t>处</t>
  </si>
  <si>
    <t>yc2025073</t>
  </si>
  <si>
    <t>叶城县2025年畜牧兽医社会服务项目</t>
  </si>
  <si>
    <t>项目总投资700万元
建设内容：通过购买第三方服务开展全县约150万头牲畜和500万羽家禽强制免疫和非强制免疫疫病防控工作，确保全县畜牧产业健康稳步发展。</t>
  </si>
  <si>
    <t>万头/羽</t>
  </si>
  <si>
    <t>（六）产业链延伸及基础设施配套</t>
  </si>
  <si>
    <t>yc2025074</t>
  </si>
  <si>
    <t>叶城县吐古其乡16村核桃加工厂扩建项目</t>
  </si>
  <si>
    <t>产业园（区）</t>
  </si>
  <si>
    <t>吐古其乡16村</t>
  </si>
  <si>
    <t>项目总投资：240万元。
建设内容：硬化核桃晾晒场地9324平方米，配套水电等附属设施。</t>
  </si>
  <si>
    <t>yc2025075</t>
  </si>
  <si>
    <t>叶城县2025年金果镇10村产业园建设项目</t>
  </si>
  <si>
    <t>项目总投资2980万元
建设内容：新建6666.7㎡小微产业园及附属配套，占地面积10亩。</t>
  </si>
  <si>
    <t>叶城县2025年金果镇创业产业孵化园二期建设项目</t>
  </si>
  <si>
    <t>项目投资800万元
建设内容：新建2000平方特色产品加工车间及相关配套设施。</t>
  </si>
  <si>
    <t>统战部、商工局</t>
  </si>
  <si>
    <t>王灏峰、周贤张</t>
  </si>
  <si>
    <t>yc2025077</t>
  </si>
  <si>
    <t>叶城县2025年阿克塔什镇特色鲜果保鲜库建设项目</t>
  </si>
  <si>
    <t>农产品仓储保鲜冷链基础设施建设</t>
  </si>
  <si>
    <t>阿克塔什镇</t>
  </si>
  <si>
    <t>项目总投资960万元
建设内容：对阿克塔什镇特色鲜果基地建设1栋（12间）1000平方米空间电场保鲜库及附属配套设施。</t>
  </si>
  <si>
    <t>yc2025078</t>
  </si>
  <si>
    <t>叶城县2025年夏合甫乡产业就业园区三期项目</t>
  </si>
  <si>
    <t>夏合甫乡3村</t>
  </si>
  <si>
    <t>项目总投资2000万元
建设内容：建设厂房10000㎡及泵房、消防水池等配套附属设施，总占地面积35亩。</t>
  </si>
  <si>
    <t>yc2025079</t>
  </si>
  <si>
    <t>叶城县2025年夏合甫乡欧松板厂房建设项目</t>
  </si>
  <si>
    <t>项目总投资2900万元
建设内容：建设欧松板制造厂房16000㎡及泵房、消防水池等配套附属设施，总占地面积85亩。</t>
  </si>
  <si>
    <t>yc2025080</t>
  </si>
  <si>
    <t>叶城县2025年乌吉热克乡农贸市场提升改造项目</t>
  </si>
  <si>
    <t>乌吉热克乡12村、16村</t>
  </si>
  <si>
    <t>项目总投资790万元
建设内容：对12村现有农贸市场进行改建，建设1100平方米商铺，完成市场地面硬化5000平方米，规划约市场就业摊位、市场道路，配套完善货物堆放场等市场相关附属设施。
对16村现有农贸市场进行提升改造，完成市场地面硬化8500平方米，规划约市场就业摊位、市场道路，配套完善货物堆放场等市场相关附属设施。</t>
  </si>
  <si>
    <t>yc2025081</t>
  </si>
  <si>
    <t>叶城县2025年乌吉热克乡16村樱桃园设施配套项目</t>
  </si>
  <si>
    <t>智慧农业</t>
  </si>
  <si>
    <t>乌吉热克乡16村</t>
  </si>
  <si>
    <t>项目总投资295万元    
建设内容：为200亩樱桃园安装新型防雨、防冻棚并配套相关附属设施，1.475万元/亩。</t>
  </si>
  <si>
    <t>yc2025082</t>
  </si>
  <si>
    <t>叶城县2025年巴仁乡农副产品加工建设项目</t>
  </si>
  <si>
    <t>巴仁乡6村</t>
  </si>
  <si>
    <t>项目总投资270万元
建设内容：对已有厂房400㎡进行升级改造，安装彩钢天花板吊顶，铺设自流平地面，彩钢板隔墙，完善照明配电系统、并扩建彩钢厂房530㎡，对扩建厂房安装彩钢天花板吊顶，铺设自流平地面，彩钢板隔墙，完善照明配电系统，生产车间和包装车间实施无菌化改造，重点加工红薯干、红薯副食品等红薯产品。</t>
  </si>
  <si>
    <t>yc2025083</t>
  </si>
  <si>
    <t>叶城县2025年伯西热克镇养殖小区建设及配套项目</t>
  </si>
  <si>
    <t>伯西热克镇11村</t>
  </si>
  <si>
    <t>项目总投资350万元
建设内容：修建棚圈2座1200㎡，饲料间1座300㎡，及其他附属配套设施。</t>
  </si>
  <si>
    <t>yc2025084</t>
  </si>
  <si>
    <t>叶城县2025年依力克其乡保鲜冷藏库建设项目</t>
  </si>
  <si>
    <t>依力克其乡13村</t>
  </si>
  <si>
    <t>项目总投资240万元
建设内容：新建墙体冻库2座及其提升改造，每座100㎡，配备电动叉车2台、地磅1台及其附属设施配套。</t>
  </si>
  <si>
    <t>yc2025085</t>
  </si>
  <si>
    <t>叶城县2025年宗朗乡产业园区基础配套及改造提升建设项目</t>
  </si>
  <si>
    <t>项目总投资395万元
建设内容：在宗朗乡产业园区新建彩钢棚2座、5000平方米及水电提升改造等配套附属设施。</t>
  </si>
  <si>
    <t>yc2025086</t>
  </si>
  <si>
    <t>yc2025087</t>
  </si>
  <si>
    <t>叶城县2025年洛克乡蓄水池建设项目</t>
  </si>
  <si>
    <t>洛克乡6村</t>
  </si>
  <si>
    <t>项目投资630万元
建设内容：新建占地60亩蓄水池、沉砂池项目及附属设施配套，约10000立方米，覆盖全乡3000亩地用水问题，同时也可发展渔业养殖。</t>
  </si>
  <si>
    <t>统战部</t>
  </si>
  <si>
    <t>王灏峰</t>
  </si>
  <si>
    <t>yc2025088</t>
  </si>
  <si>
    <t>叶城县2025年巴仁乡10村沉砂池建设项目</t>
  </si>
  <si>
    <t>项目投资：120万元
建设内容：建设沉砂池1座2000立方米，占地4亩，配套其他附属设施。</t>
  </si>
  <si>
    <t>yc2025089</t>
  </si>
  <si>
    <t>叶城县2025年洛克乡1村沉砂池建设项目</t>
  </si>
  <si>
    <t>项目总投资980万元
建设内容：在洛克乡1村建设约600亩的沉砂池，配套附属设施设备等。</t>
  </si>
  <si>
    <t>叶城县2025年洛克乡1村水利设施配套提升项目</t>
  </si>
  <si>
    <r>
      <rPr>
        <sz val="20"/>
        <rFont val="仿宋"/>
        <charset val="134"/>
      </rPr>
      <t>项目总投资1700万元
建设内容：铺设矩型渠约21公里，流量0.2-1m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/秒，配套渠系建筑物等。</t>
    </r>
  </si>
  <si>
    <t>水利局</t>
  </si>
  <si>
    <t>王平</t>
  </si>
  <si>
    <t>叶城县2025年巴仁乡种植业基地配套建设项目</t>
  </si>
  <si>
    <r>
      <rPr>
        <sz val="20"/>
        <rFont val="仿宋"/>
        <charset val="134"/>
      </rPr>
      <t>项目总投资280万元
建设内容：建设0.2m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/s防渗渠4公里，并建设水闸，农桥等附属设施。</t>
    </r>
  </si>
  <si>
    <t>yc2025092</t>
  </si>
  <si>
    <t>叶城县2025年白杨镇种植业基地配套建设项目</t>
  </si>
  <si>
    <r>
      <rPr>
        <sz val="20"/>
        <rFont val="仿宋"/>
        <charset val="134"/>
      </rPr>
      <t>项目总投资2130万元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/s防渗渠28.4公里及配套，75万元/公里。</t>
    </r>
  </si>
  <si>
    <t>yc2025093</t>
  </si>
  <si>
    <t>叶城县2025年伯西热克镇种植业基地配套建设项目</t>
  </si>
  <si>
    <r>
      <rPr>
        <sz val="20"/>
        <rFont val="仿宋"/>
        <charset val="134"/>
      </rPr>
      <t>项目总投资1200万元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/s防渗渠16公里及配套，75万元/公里。</t>
    </r>
  </si>
  <si>
    <t>yc2025094</t>
  </si>
  <si>
    <t>叶城县2025年河园镇种植业基地配套建设项目</t>
  </si>
  <si>
    <r>
      <rPr>
        <sz val="20"/>
        <rFont val="仿宋"/>
        <charset val="134"/>
      </rPr>
      <t>项目总投资1275万元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/s防渗渠17公里及配套，75万元/公里。</t>
    </r>
  </si>
  <si>
    <t>yc2025095</t>
  </si>
  <si>
    <t>叶城县2025年江格勒斯乡种植业基地配套建设项目</t>
  </si>
  <si>
    <r>
      <rPr>
        <sz val="20"/>
        <rFont val="仿宋"/>
        <charset val="134"/>
      </rPr>
      <t>项目总投资919.8万元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/s防渗渠12.264公里及配套，75万元/公里。</t>
    </r>
  </si>
  <si>
    <t>yc2025096</t>
  </si>
  <si>
    <t>叶城县2025年洛克乡种植业基地配套建设项目</t>
  </si>
  <si>
    <t>项目总投资412.5万元
建设内容：新建0.2-0.8/S流量的防渗渠5.5公里及其配套附属(水闸、涵洞、农桥、跌水等），75万元/公里。</t>
  </si>
  <si>
    <t>叶城县2025年棋盘乡种植业基地配套建设项目</t>
  </si>
  <si>
    <t>棋盘乡</t>
  </si>
  <si>
    <r>
      <rPr>
        <sz val="20"/>
        <rFont val="仿宋"/>
        <charset val="134"/>
      </rPr>
      <t>项目总投资1095万元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/s防渗渠14.6公里及配套，75万元/公里。</t>
    </r>
  </si>
  <si>
    <t>叶城县2025年恰尔巴格镇种植业基地配套建设项目</t>
  </si>
  <si>
    <r>
      <rPr>
        <sz val="20"/>
        <rFont val="仿宋"/>
        <charset val="134"/>
      </rPr>
      <t>项目总投资802.5万元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/s防渗渠10.7公里及配套，75万元/公里。</t>
    </r>
  </si>
  <si>
    <t>叶城县2025年铁提乡种植业基地配套建设项目</t>
  </si>
  <si>
    <r>
      <rPr>
        <sz val="20"/>
        <rFont val="仿宋"/>
        <charset val="134"/>
      </rPr>
      <t>项目总投资1500万元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/s防渗渠20公里及配套，75万元/公里。</t>
    </r>
  </si>
  <si>
    <t>叶城县2025年吐古其乡种植业基地配套建设项目</t>
  </si>
  <si>
    <t>叶城县2025年乌吉热克乡种植业基地配套建设项目</t>
  </si>
  <si>
    <r>
      <rPr>
        <sz val="20"/>
        <rFont val="仿宋"/>
        <charset val="134"/>
      </rPr>
      <t>项目总投资1732.5万元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/s防渗渠23.1公里及配套，75万元/公里。</t>
    </r>
  </si>
  <si>
    <t>叶城县2025年乌夏巴什镇种植业基地配套建设项目</t>
  </si>
  <si>
    <r>
      <rPr>
        <sz val="20"/>
        <rFont val="仿宋"/>
        <charset val="134"/>
      </rPr>
      <t>项目总投资540万元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/s防渗渠7.2公里及配套，75万元/公里。</t>
    </r>
  </si>
  <si>
    <t>yc2025103</t>
  </si>
  <si>
    <t>叶城县2025年夏合甫乡种植业基地配套建设项目</t>
  </si>
  <si>
    <t>yc2025104</t>
  </si>
  <si>
    <t>叶城县2025年依力克其乡种植业基地配套建设项目</t>
  </si>
  <si>
    <r>
      <rPr>
        <sz val="20"/>
        <rFont val="仿宋"/>
        <charset val="134"/>
      </rPr>
      <t>项目总投资750万元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/s防渗渠10公里及配套，75万元/公里。</t>
    </r>
  </si>
  <si>
    <t>yc2025105</t>
  </si>
  <si>
    <t>叶城县2025年依提木孔镇种植业基地配套建设项目</t>
  </si>
  <si>
    <t>yc2025106</t>
  </si>
  <si>
    <t>叶城县2025年宗朗乡种植业基地配套建设项目</t>
  </si>
  <si>
    <r>
      <rPr>
        <sz val="20"/>
        <rFont val="仿宋"/>
        <charset val="134"/>
      </rPr>
      <t>项目总投资840万元
建设内容：新建0.2-0.8m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/s防渗渠11.2公里及配套，75万元/公里。</t>
    </r>
  </si>
  <si>
    <t>yc2025107</t>
  </si>
  <si>
    <t>叶城县2025年恰其库木管理区种植业基地配套建设项目</t>
  </si>
  <si>
    <t>yc2025108</t>
  </si>
  <si>
    <t>叶城县2025年农村道路管护人员补助</t>
  </si>
  <si>
    <t>生产奖补、劳务补助等</t>
  </si>
  <si>
    <t>项目总投资1894.8万元
建设内容：农村道路日常养护补助资金项目，为1579个护路员发放补贴。</t>
  </si>
  <si>
    <t>项目总投资1276.8万元
建设内容：为608个临时性公益岗位进行补助，1750元/人/月。每个公益岗位就业人员就业时间不得超过6个月，参与就业人数不低于1216人。</t>
  </si>
  <si>
    <t>yc2025110</t>
  </si>
  <si>
    <t>叶城县2025年跨省就业一次性交通补助</t>
  </si>
  <si>
    <t>项目总投资437.4万元
建设内容：跨省就业2187人，每人不超过2000元，其中夏合甫乡103人、柯克亚乡40人、白杨镇103人、巴仁乡42人、乌夏巴什镇976人、江格勒斯乡61人、阿克塔什镇300人、金果镇3人、棋盘乡1人、吐古其乡128人、恰尔巴格镇107人、伯西热克镇200人、乌吉热克乡98人、依力克其乡25人、河园镇270人、宗朗乡83人、铁提乡73人、依提木孔镇147人、洛克乡309人。</t>
  </si>
  <si>
    <t>yc2025111</t>
  </si>
  <si>
    <t>项目总投资1427.6万元
建设内容：疆内跨地州市（含兵团）就业14276人，每人不超过1000元，其中夏合甫乡736人、柯克亚乡118人、白杨镇582人、巴仁乡282人、乌夏巴什镇574人、江格勒斯乡652人、阿克塔什镇1700人、金果镇3人、棋盘乡41人、吐古其乡673人、恰尔巴格镇1074人、伯西热克镇1437人、乌吉热克乡674人、依力克其乡355人、河园镇1163人、宗朗乡292人、铁提乡427人、依提木孔镇662人、洛克乡2831人。</t>
  </si>
  <si>
    <t>yc2025112</t>
  </si>
  <si>
    <t>yc2025113</t>
  </si>
  <si>
    <t>叶城县2025年自主创业（20㎡以上）补助项目</t>
  </si>
  <si>
    <t>创业奖补</t>
  </si>
  <si>
    <t>项目总投资180.2万元
建设内容：自主创业（20㎡以上）901户，2000元/户，其中夏合甫乡19户、柯克亚乡40户、白杨镇24户、巴仁乡16户、乌夏巴什镇138户、江格勒斯乡20户、阿克塔什镇30户、金果镇20户、吐古其乡82户、恰尔巴格镇39户、伯西热克镇141户、乌吉热克乡55户、依力克其乡21户、河园镇94户、宗朗乡22户、铁提乡28户、依提木孔镇69户、洛克乡43户。</t>
  </si>
  <si>
    <t>yc2025114</t>
  </si>
  <si>
    <t>叶城县2025年自主创业（20㎡以下）补助项目</t>
  </si>
  <si>
    <t>项目总投资54.2万元
建设内容：自主创业（20㎡以下）542户，1000元/户，其中夏合甫乡7户、白杨镇20户、巴仁乡7户、乌夏巴什镇41户、江格勒斯乡21户、阿克塔什镇20户、金果镇3户、恰尔巴格镇41户、伯西热克镇101户、乌吉热克乡52户、吐古其乡70户、依力克其乡3户、河园镇22户、宗朗乡2户、铁提乡3户、依提木孔镇32户、洛克乡48户。</t>
  </si>
  <si>
    <t>（一）示范村创建</t>
  </si>
  <si>
    <t>叶城县2025年乌吉热克乡18村自治区级重点示范村乡村建设项目</t>
  </si>
  <si>
    <t>农村污水治理</t>
  </si>
  <si>
    <t>乌吉热克乡18村</t>
  </si>
  <si>
    <t>项目总投资：2000万元
建设内容：1.发展水产养殖320亩，新建一条育苗车间1200㎡，新建化验室及附属用房600㎡，规格10*45米育苗池40个配套110管道及阀门及相关附属设施。育苗筒规格6*6数量48个，微粒机1台，大水箱1台，细菌屋1台（10吨），锅炉1台，发电机1台250千瓦，增氧机泵2台，跑道式水库网箱养殖1组6个（10*40）。
2.新建污水管网9公里，60万元/公里，配套检查井、化粪池等附属设施，涉及200户，路面硬化5700平方米。
3.建设林粮间作节水1800亩，配套建设防渗渠1.45公里。</t>
  </si>
  <si>
    <t>住建局、农业农村局</t>
  </si>
  <si>
    <t>辜永亮、唐俊</t>
  </si>
  <si>
    <t>yc2025116</t>
  </si>
  <si>
    <t>叶城县2025年江格勒斯乡9村自治区级重点示范村乡村建设项目</t>
  </si>
  <si>
    <t>村容村貌提升</t>
  </si>
  <si>
    <t>项目总投资2870万元
建设内容：1.发展水产养殖170亩，并配套水产育苗设备1套；
2.新建砂砾石道路1.54公里、新建木桥两座、地坪硬化4000平方米等其他配套附属设施；
3.新建污水管网7公里及灌溉管网4.6公里，5000平方米渠道改造提升，及村容村貌改造与提升等。</t>
  </si>
  <si>
    <t>（二）农村人居环境整治</t>
  </si>
  <si>
    <t>叶城县2025年阿克塔什镇良种场道路硬化建设项目</t>
  </si>
  <si>
    <t>阿克塔什镇良种场</t>
  </si>
  <si>
    <t>项目总投资80万元
建设内容：道路硬化5000㎡及附属配套。</t>
  </si>
  <si>
    <t>yc2025119</t>
  </si>
  <si>
    <t>叶城县2025年乌吉热克乡17村乡村道路建设项目</t>
  </si>
  <si>
    <t>乌吉热克乡17村</t>
  </si>
  <si>
    <t>项目总投资：240万元   
建设内容：道路拓宽硬化14000平方米并配套相关附属设施。</t>
  </si>
  <si>
    <t>yc2025120</t>
  </si>
  <si>
    <t>叶城县2025年洛克乡道路建设项目</t>
  </si>
  <si>
    <t>洛克乡10村、12村</t>
  </si>
  <si>
    <t>项目总投资395万元
建设内容：新建宽3.5米、长5.5公里的硬化路及其配套附属。</t>
  </si>
  <si>
    <t>叶城县2025年铁提乡道路建设项目</t>
  </si>
  <si>
    <t>铁提乡3村、8村、10村</t>
  </si>
  <si>
    <t>项目总投资360万元
建设内容:铁提乡3村和10村5.3公里道路进行硬化及其他附属设施，约60万元/公里；8村道路硬化拓展3976平方米。</t>
  </si>
  <si>
    <t>yc2025121</t>
  </si>
  <si>
    <t>叶城县2025年巴仁乡桥梁建设项目</t>
  </si>
  <si>
    <t>项目投资80万元
建设内容：新建6米*8米桥梁3座。</t>
  </si>
  <si>
    <t>yc2025122</t>
  </si>
  <si>
    <t>叶城县2025年巴仁乡渠系配套建设项目</t>
  </si>
  <si>
    <t>巴仁乡7、8村</t>
  </si>
  <si>
    <t>项目投资387万元
建设内容：新建桥涵2座，其中50米*6米1座，66米*10米1座，并配套其他基础设施。</t>
  </si>
  <si>
    <t>yc2025123</t>
  </si>
  <si>
    <t>叶城县2025年恰尔巴格镇中水集中灌溉建设项目</t>
  </si>
  <si>
    <t>恰尔巴格镇15村</t>
  </si>
  <si>
    <t>项目总投资780万元
建设内容：1.新增中水管道DE160PE管8公里以及配套设施设备；
2.单项顶管施工工艺；
3.灌溉（包含喷灌、滴灌）以及配套设施设备；
4.新建500m3蓄水池以及配套设施设备。</t>
  </si>
  <si>
    <t>yc2025147</t>
  </si>
  <si>
    <t>叶城县2025年农村公共厕所建设项目</t>
  </si>
  <si>
    <t>农村卫生厕所改造（户用、公共厕所）</t>
  </si>
  <si>
    <t>洛克乡、金果镇、恰尔巴格镇、伯西热克镇、乌夏巴什镇、阿克塔什镇</t>
  </si>
  <si>
    <t>项目总投资200万元
建设内容：建设农村公共厕所18座，30㎡/座，配套化粪池，10万元/座。其中洛克乡1座、金果镇4座（40㎡/座，15万元/座）、恰尔巴格镇6座、伯西热克镇2座、乌夏巴什镇3座、阿克塔什镇2座。</t>
  </si>
  <si>
    <t>乡村振兴产业发展中心</t>
  </si>
  <si>
    <t>王慧</t>
  </si>
  <si>
    <t>（三）农村安全饮水工程</t>
  </si>
  <si>
    <t>yc2025148</t>
  </si>
  <si>
    <t>叶城县2025年金果镇9村农村供水保障工程</t>
  </si>
  <si>
    <t>农村供水保障设施建设</t>
  </si>
  <si>
    <t>改建</t>
  </si>
  <si>
    <t>金果镇9村</t>
  </si>
  <si>
    <t>项目总投资514万元
建设内容：更换及改造管道约21公里及配套各类附属建筑物。</t>
  </si>
  <si>
    <t>yc2025149</t>
  </si>
  <si>
    <t>叶城县2025年巴仁乡农村供水保障工程</t>
  </si>
  <si>
    <t>项目总投资1469.61万元
建设内容：更换及改造管道约123公里及配套各类附属建筑物</t>
  </si>
  <si>
    <t>（四）以工代赈</t>
  </si>
  <si>
    <t>yc2025150</t>
  </si>
  <si>
    <t>叶城县白杨镇21村农村水利基础设施建设项目2025年中央财政以工代赈项目</t>
  </si>
  <si>
    <t>白杨镇21村</t>
  </si>
  <si>
    <r>
      <rPr>
        <sz val="20"/>
        <rFont val="仿宋"/>
        <charset val="134"/>
      </rPr>
      <t>新建0.6-1m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/s防渗渠5.6公里，配套渠系建筑物124座。</t>
    </r>
  </si>
  <si>
    <t>发改委</t>
  </si>
  <si>
    <t>叶人宾</t>
  </si>
  <si>
    <t>yc2025151</t>
  </si>
  <si>
    <t>叶城县吐古其乡道路提升改造建设2025年中央财政以工代赈项目</t>
  </si>
  <si>
    <t>道路拓宽13.5公里，硬化面积21000平方米及配套附属工程。</t>
  </si>
  <si>
    <t>yc2025152</t>
  </si>
  <si>
    <t>叶城县依力克其乡农村水利基础设施提升2025年中央财政以工代赈项目</t>
  </si>
  <si>
    <t>新建 0.2-0.8m3/s 防渗渠约 5.4公里及附属设施。本次建设5条渠道，配套渠系建筑物34座.</t>
  </si>
  <si>
    <t>yc2025153</t>
  </si>
  <si>
    <t>叶城县西合休乡尤隆4村河道修缮改造治理2025年中央财政以工代赈项目</t>
  </si>
  <si>
    <t>西合休乡尤隆4村</t>
  </si>
  <si>
    <t>河道修缮改造治理2.0公里及附属设施</t>
  </si>
  <si>
    <t>yc2025154</t>
  </si>
  <si>
    <t>叶城县柯克亚乡农村水利基础设施提升2025年中央财政以工代赈项目</t>
  </si>
  <si>
    <r>
      <rPr>
        <sz val="20"/>
        <rFont val="仿宋"/>
        <charset val="134"/>
      </rPr>
      <t>新建0.2-1.0m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/s防渗渠约5.62公里及附属设施。本次建设5条渠道，配套渠系建筑物33座</t>
    </r>
  </si>
  <si>
    <t>yc2025155</t>
  </si>
  <si>
    <t>叶城县依提木孔镇种植业基地基础设施配套2025年中央财政以工代赈项目</t>
  </si>
  <si>
    <t>修建 0.2-0.8m3/s防渗渠道5.5 公里，并配套渠系建筑物。</t>
  </si>
  <si>
    <t>yc2025156</t>
  </si>
  <si>
    <t>叶城县夏合甫乡农村交通基础设施建设2025年中央财政以工代赈项目</t>
  </si>
  <si>
    <t>村级道路拓宽零星硬化24000平方米及附属配套</t>
  </si>
  <si>
    <t>yc2025157</t>
  </si>
  <si>
    <t>叶城县铁提乡水毁基础设施恢复重建2025年中央财政以工代赈项目</t>
  </si>
  <si>
    <t>改扩建0.6km防洪墙、护坡、护岸等附属设施</t>
  </si>
  <si>
    <t>yc2025158</t>
  </si>
  <si>
    <t>叶城县洛克乡农村水利基础设施提升2025年中央财政以工代赈项目</t>
  </si>
  <si>
    <r>
      <rPr>
        <sz val="20"/>
        <rFont val="仿宋"/>
        <charset val="134"/>
      </rPr>
      <t>新建0.2-1m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/s防渗渠约3.9公里及附属设施。</t>
    </r>
  </si>
  <si>
    <t>yc2025159</t>
  </si>
  <si>
    <t>叶城县河园镇水利基础设施提升2025年中央财政以工代赈项目</t>
  </si>
  <si>
    <t>新建闸口100个、防渗渠水面盖板30米，涵洞14个等附属设施</t>
  </si>
  <si>
    <t>米</t>
  </si>
  <si>
    <t>yc2025160</t>
  </si>
  <si>
    <t>叶城县宗朗乡种植业基地配套设施2025年中央财政以工代赈项目</t>
  </si>
  <si>
    <t>新建0.2-0.8流量防渗渠5.6公里</t>
  </si>
  <si>
    <t>yc2025161</t>
  </si>
  <si>
    <t>叶城县金果镇道路建设2025年中央财政以工代赈项目</t>
  </si>
  <si>
    <t>扩宽道路8.58公里，硬化面积共计24380平方米。</t>
  </si>
  <si>
    <t>yc2025162</t>
  </si>
  <si>
    <t>叶城县江格勒斯乡农村交通基础设施提升2025年中央财政以工代赈项目</t>
  </si>
  <si>
    <t>新建沥青道路3.0km，建设道路宽度4.5m并修建道路附属设施</t>
  </si>
  <si>
    <t>yc2025163</t>
  </si>
  <si>
    <t>叶城县阿克塔什镇林场农村水利基础设施2025年中央财政以工代赈项目</t>
  </si>
  <si>
    <t>阿克塔什镇林场</t>
  </si>
  <si>
    <r>
      <rPr>
        <sz val="20"/>
        <rFont val="仿宋"/>
        <charset val="134"/>
      </rPr>
      <t>新建防渗渠3公里，其中：0.8m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/S流量300米，0.5流量2.7公里</t>
    </r>
  </si>
  <si>
    <t>yc2025164</t>
  </si>
  <si>
    <t>叶城县恰尔巴格镇水利基础设施提升改造2025年中央财政以工代赈项目</t>
  </si>
  <si>
    <r>
      <rPr>
        <sz val="20"/>
        <rFont val="仿宋"/>
        <charset val="134"/>
      </rPr>
      <t>新建0.2-0.8m</t>
    </r>
    <r>
      <rPr>
        <sz val="20"/>
        <rFont val="宋体"/>
        <charset val="134"/>
      </rPr>
      <t>³</t>
    </r>
    <r>
      <rPr>
        <sz val="20"/>
        <rFont val="仿宋"/>
        <charset val="134"/>
      </rPr>
      <t>/s防渗渠约5.5公里及附属设施</t>
    </r>
  </si>
  <si>
    <t>yc2025165</t>
  </si>
  <si>
    <t>叶城县乌夏巴什镇交通基础设施改造2025年中央财政以工代赈项目</t>
  </si>
  <si>
    <t>硬化农村道路2.94万平方米及配套道路附属设施</t>
  </si>
  <si>
    <t>yc2025166</t>
  </si>
  <si>
    <t>项目总投资3600万元。
建设内容：资助对象为就读于中职、中专（成人中专）、技工、高职等接受职业教育的叶城县户籍脱贫户家庭子女（含监测帮扶对象家庭子女）的实施补助，每人补助3000元，预计享受学生12000人。</t>
  </si>
  <si>
    <t>yc2025167</t>
  </si>
  <si>
    <t>六</t>
  </si>
  <si>
    <t>项目管理费</t>
  </si>
  <si>
    <t>yc2025168</t>
  </si>
  <si>
    <t>叶城县项目管理费</t>
  </si>
  <si>
    <t>根据《关于印发&lt;中央财政衔接推进乡村振兴补助资金管理办法&gt;的通知》要求，提取项目管理费，计划从2025年中央衔接资金中提取项目管理费500万元。主要用于项目前期设计、评审、招标、监理以及验收等与项目管理相关的支出。</t>
  </si>
  <si>
    <t>七</t>
  </si>
  <si>
    <t>其他类</t>
  </si>
  <si>
    <t>yc2025169</t>
  </si>
  <si>
    <t>叶城县2025年“健康饮茶，送茶入户”项目</t>
  </si>
  <si>
    <t>其他</t>
  </si>
  <si>
    <t>困难群众饮用低氟茶</t>
  </si>
  <si>
    <t>项目总投资：48万元
建设内容：为全县10185户监测户，发放饮用低氟茶，2公斤/户，24元/公斤。</t>
  </si>
  <si>
    <t>yc2025170</t>
  </si>
  <si>
    <t>叶城县农业高质量发展培训项目</t>
  </si>
  <si>
    <t>技能培训</t>
  </si>
  <si>
    <t>项目总投资150万元
建设内容：培训农业专业技术人员500人。</t>
  </si>
  <si>
    <t>叶城县2025年巩固拓展脱贫攻坚成果同乡村振兴第一批项目计划</t>
  </si>
  <si>
    <t>伯西热克镇、棋盘乡、乌夏巴什镇、依力克其乡、宗朗乡</t>
  </si>
  <si>
    <t>项目总投资135.166665万元
建设内容：杏病虫害防治2518户14228.07亩，95元/亩，其中伯西热克镇300户1422.3亩、棋盘乡160户1760亩、乌夏巴什镇896户3874.67亩、依力克其乡537户3575.8亩、宗朗乡625户3595.3亩。</t>
  </si>
  <si>
    <t>项目乡镇</t>
  </si>
  <si>
    <t>项目乡镇党委书记</t>
  </si>
  <si>
    <t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</t>
  </si>
  <si>
    <t>项目总投资4422.09925万元
建设内容：林果提质增效23117户176883.97亩，250元/亩，主要用于购买油渣或化肥。其中阿克塔什镇1548户5100亩、巴仁乡591户6974.6亩、白杨镇1079户12200.29亩、伯西热克镇2703户11489.2亩、河园镇1700户14527.14亩、江格勒斯乡606户5400.3亩、金果镇506户2069.8亩、柯克亚乡26户99.5亩、洛克乡2258户14619.2亩、棋盘乡63户2152亩、恰尔巴格镇1668户18589.3亩、恰其库木管理区727户5649.5亩、铁提乡784户5234.06亩、吐古其乡1019户7408.42亩、乌吉热克乡1566户13747.95亩、乌夏巴什镇1163户5632.84亩、夏合甫乡1549户14946.47亩、依力克其乡1321户11481.5亩、依提木孔镇1495户12879.2亩、宗朗乡745户6682.7亩。</t>
  </si>
  <si>
    <t>巴仁乡、白杨镇、伯西热克镇、河园镇、江格勒斯乡、金果镇、柯克亚乡、洛克乡、恰尔巴格镇、恰其库木管理区、铁提乡、吐古其乡、乌吉热克乡、乌夏巴什镇、夏合甫乡、依力克其乡、依提木孔镇、宗朗乡</t>
  </si>
  <si>
    <t>项目总投资694.22044万元
建设内容：核桃提质增效石硫合剂涂白剂补助22358户173555.11亩，40元/亩，其中巴仁乡591户6974.6亩、白杨镇1079户12200.29亩、伯西热克镇2703户11489.2亩、河园镇1820户15565.76亩、江格勒斯乡317户2714.3亩、金果镇506户2069.8亩、柯克亚乡316户1272.65亩、洛克乡2258户14632.2亩、恰尔巴格镇1975户18590.7亩、恰其库木管理区727户5649.5亩、铁提乡744户4965.06亩、吐古其乡1019户7408.42亩、乌吉热克乡1520户14181.36亩、乌夏巴什镇1453户7594.2亩、夏合甫乡1549户14946.47亩、依力克其乡1317户11437.7亩、依提木孔镇1504户12830.2亩、宗朗乡960户9032.7亩。</t>
  </si>
  <si>
    <t>巴仁乡、白杨镇、伯西热克镇、江格勒斯乡、恰尔巴格镇、恰其库木管理区、铁提乡、吐古其乡、乌吉热克乡、乌夏巴什镇、夏合甫乡、依力克其乡、依提木孔镇、宗朗乡</t>
  </si>
  <si>
    <t>项目总投资63.5973万元
建设内容：滴灌灌溉补助2739户21199.1亩，30元/亩，其中巴仁乡591户6974.6亩、白杨镇1079户12200.29亩、伯西热克镇2703户11489.2亩、江格勒斯乡606户5400.3亩、恰尔巴格镇1668户18589.3亩、恰其库木管理区727户5649.5亩、铁提乡784户5234.06亩、吐古其乡1019户7408.42亩、乌吉热克乡1566户13747.95亩、乌夏巴什镇1163户5632.84亩、夏合甫乡1549户14946.47亩、依力克其乡1321户11481.5亩、依提木孔镇1495户12879.2亩、宗朗乡745户6682.7亩。</t>
  </si>
  <si>
    <t>江格勒斯乡、乌吉热克乡、乌夏巴什镇、依力克其乡</t>
  </si>
  <si>
    <t>项目总投资40.2554万元
建设内容：托管服务补助465户4025.54亩，100元/亩，其中江格勒斯乡46户195.2亩、乌吉热克乡16户175亩、乌夏巴什镇202户1445.34亩、依力克其乡201户2210亩。</t>
  </si>
  <si>
    <t>阿克塔什镇、巴仁乡、白杨镇、伯西热克镇、河园镇、江格勒斯乡、金果镇、恰尔巴格镇、铁提乡、吐古其乡乌夏巴什镇、夏合甫乡、依力克其乡、依提木孔镇</t>
  </si>
  <si>
    <t>项目总投资85.1391万元
建设内容：菜苗补助1722户1891.98亩，450元/亩，其中阿克塔什镇80户240亩、巴仁乡64户112.7亩、白杨镇59户132.3亩、伯西热克镇119户69.4亩、河园镇204户319亩、江格勒斯乡132户73.9亩、金果镇45户64.5亩、恰尔巴格镇29户61.5亩、铁提乡28户84.9亩、吐古其乡522户138.98亩、乌夏巴什镇113户70.1亩、夏合甫乡74户176.4亩、依力克其乡6户22.5亩、依提木孔镇247户325.8亩。</t>
  </si>
  <si>
    <t>白杨镇、伯西热克镇、河园镇、江格勒斯乡、金果镇、铁提乡、吐古其乡、乌吉热克乡、依力克其乡、依提木孔镇、宗朗乡</t>
  </si>
  <si>
    <t>项目总投资21.4455万元
建设内容：拱棚改造提升967户714.85亩，300元/亩，其中白杨镇3户22亩、伯西热克镇47户22.2亩、河园镇25户31亩、江格勒斯乡239户188.5亩、金果镇37户32.7亩、铁提乡1户1亩、吐古其乡405户204.15亩、乌吉热克乡116户70.2亩、依力克其乡3户19.2亩、依提木孔镇90户98.9亩、宗朗乡1户25亩。</t>
  </si>
  <si>
    <t>巴仁乡、白杨镇、伯西热克镇、河园镇、江格勒斯乡、金果镇、洛克乡、棋盘乡、恰尔巴格镇、恰其库木管理区、吐古其乡、乌吉热克乡、乌夏巴什镇、夏合甫乡、依力克其乡、依提木孔镇、宗朗乡</t>
  </si>
  <si>
    <t>项目总投资585.612万元
建设内容：发展家庭特色种植13969户5856.12亩，1000元/亩，其中巴仁乡422户98.3亩、白杨镇915户318.5亩、伯西热克镇1561户618.1亩、河园镇385户787.5亩、江格勒斯乡926户428.8亩、金果镇59户18.26亩、洛克乡1174户456.25亩、棋盘乡109户56亩、恰尔巴格镇622户195.1亩、恰其库木管理区861户337.1亩、吐古其乡914户220.57亩、乌吉热克乡135户52.6亩、乌夏巴什镇1729户680.14亩、夏合甫乡1488户600.2亩、依力克其乡972户325.3亩、依提木孔镇982户281.2亩、宗朗乡715户382.2亩。</t>
  </si>
  <si>
    <t>阿克塔什镇、巴仁乡、白杨镇、伯西热克镇、河园镇、江格勒斯乡、金果镇、柯克亚乡、洛克乡、棋盘乡、恰尔巴格镇、恰其库木管理区、铁提乡、吐古其乡、乌吉热克乡、乌夏巴什镇、夏合甫乡、依力克其乡、依提木孔镇、宗朗乡、东城区、中城区</t>
  </si>
  <si>
    <t>项目总投资3958万元
建设内容：引进良种母牛6607户9895头，4000元/头，其中阿克塔什镇227户500头、巴仁乡104户190头、白杨镇145户187头、伯西热克镇1401户2737头、河园镇245户294头、江格勒斯乡44户63头、金果镇52户100头、柯克亚乡79户155头、洛克乡337户534头、棋盘乡2户5头、恰尔巴格镇1185户1003头、恰其库木管理区161户268头、铁提乡222户366头、吐古其乡286户356头、乌吉热克乡121户174头、乌夏巴什镇364户767头、夏合甫乡706户832头、依力克其乡159户199头、依提木孔镇459户620头、宗朗乡277户478头、东城区16户39头、中城区15户28头。</t>
  </si>
  <si>
    <t>阿克塔什镇、巴仁乡、白杨镇、伯西热克镇、河园镇、江格勒斯乡、金果镇、柯克亚乡、洛克乡、恰尔巴格镇、恰其库木管理区、铁提乡、吐古其乡、乌吉热克乡、乌夏巴什镇、夏合甫乡、依力克其乡、依提木孔镇、宗朗乡、东城区、中城区</t>
  </si>
  <si>
    <t>项目总投资1602.68万元
建设内容：引进良种母羊6538户40067只，400元/只，其中阿克塔什镇227户500只、巴仁乡104户190只、白杨镇145户187只、伯西热克镇1401户2737只、河园镇245户294只、江格勒斯乡44户63只、金果镇52户100只、柯克亚乡79户155只、洛克乡337户534只、恰尔巴格镇1185户1003只、恰其库木管理区161户268只、铁提乡222户366只、吐古其乡286户356只、乌吉热克乡121户174只、乌夏巴什镇364户767只、夏合甫乡706户832只、依力克其乡159户199只、依提木孔镇459户620只、宗朗乡277户478只、东城区16户39只、中城区15户28只。</t>
  </si>
  <si>
    <t>阿克塔什镇、巴仁乡、白杨镇、伯西热克镇、河园镇、江格勒斯乡、金果镇、柯克亚乡、洛克乡、棋盘乡、恰尔巴格镇、恰其库木管理区、铁提乡、吐古其乡、乌吉热克乡、乌夏巴什镇、西合休乡、夏合甫乡、依力克其乡、依提木孔镇、宗朗乡、东城区、中城区</t>
  </si>
  <si>
    <t>项目总投资5484.6万元
建设内容：自繁良种母牛13011户20247头，3000元/头，其中阿克塔什镇511户605头、巴仁乡198户332头、白杨镇419户607头、伯西热克镇1391户2215头、河园镇440户536头、江格勒斯乡369户529头、金果镇81户172头、柯克亚乡209户521头、洛克乡997户2062头、棋盘乡326户928头、恰尔巴格镇663户933头、恰其库木管理区236户243头、铁提乡373户490头、吐古其乡481户812头、乌吉热克乡551户681头、乌夏巴什镇1567户3013头、西合休乡1016户1016头、夏合甫乡779户1000头、依力克其乡671户1010头、依提木孔镇745户1135头、宗朗乡433户642头、东城区99户309头、中城区456户456头。</t>
  </si>
  <si>
    <t>项目总投资3812.64万元
建设内容：自繁良种母羊19453户127088只，300元/只，其中阿克塔什镇669户9006只、巴仁乡373户1913只、白杨镇694户3172只、伯西热克镇1890户12413只、河园镇958户3914只、江格勒斯乡576户2659只、金果镇301户1779只、柯克亚乡289户3869只、洛克乡1673户12481只、棋盘乡328户4768只、恰尔巴格镇890户5920只、恰其库木管理区182户491只、铁提乡453户1410只、吐古其乡946户3909只、乌吉热克乡855户3702只、乌夏巴什镇2278户20318只、西合休乡1016户5080只、夏合甫乡1094户3965只、依力克其乡886户4579只、依提木孔镇1333户6955只、宗朗乡614户3841只、东城区384户7186只、中城区771户3758只。</t>
  </si>
  <si>
    <t>巴仁乡、白杨镇、伯西热克镇、河园镇、江格勒斯乡、金果镇、洛克乡、棋盘乡、恰尔巴格镇、恰其库木管理区、铁提乡、吐古其乡、乌吉热克乡、乌夏巴什镇、夏合甫乡、依力克其乡、依提木孔镇、宗朗乡</t>
  </si>
  <si>
    <t>项目总投资242.83万元
建设内容：鸡养殖4968户242830羽，10元/羽，其中巴仁乡8户800羽、白杨镇132户9450羽、伯西热克镇525户30953羽、河园镇324户9010羽、江格勒斯乡261户11680羽、金果镇100户11480羽、洛克乡639户26701羽、棋盘乡13户770羽、恰尔巴格镇309户14550羽、恰其库木管理区239户12955羽、铁提乡112户6462羽、吐古其乡719户35950羽、乌吉热克乡38户1220羽、乌夏巴什镇477户9067羽、夏合甫乡108户5740羽、依力克其乡352户20819羽、依提木孔镇524户29863羽、宗朗乡88户5360羽。</t>
  </si>
  <si>
    <t>白杨镇、伯西热克镇、河园镇、江格勒斯乡、金果镇、洛克乡、恰尔巴格镇、铁提乡、吐古其乡、乌吉热克乡、乌夏巴什镇、夏合甫乡、依力克其乡、依提木孔镇</t>
  </si>
  <si>
    <t>项目总投资53.479万元
建设内容：鸭养殖1233户53479羽，10元/羽，其中白杨镇13户770羽、伯西热克镇183户9814羽、河园镇100户1530羽、江格勒斯乡67户2957羽、金果镇21户594羽、洛克乡203户10687羽、恰尔巴格镇42户2400羽、铁提乡2户100羽、吐古其乡320户16000羽、乌吉热克乡4户120羽、乌夏巴什镇176户3059羽、夏合甫乡30户1568羽、依力克其乡8户550羽、依提木孔镇64户3330羽。</t>
  </si>
  <si>
    <t>伯西热克镇、河园镇、江格勒斯乡、金果镇、洛克乡、恰尔巴格镇、恰其库木管理区、铁提乡、吐古其乡、乌吉热克乡、乌夏巴什镇、夏合甫乡、依力克其乡、依提木孔镇、宗朗乡</t>
  </si>
  <si>
    <t>项目总投资47.848万元
建设内容：鹅养殖1048户47848羽，10元/羽，其中伯西热克镇236户12958羽、河园镇39户350羽、江格勒斯乡17户580羽、金果镇14户539羽、洛克乡78户4605羽、恰尔巴格镇50户2640羽、恰其库木管理区50户2500羽、铁提乡2户200羽、吐古其乡287户14350羽、乌吉热克乡30户785羽、乌夏巴什镇171户3974羽、夏合甫乡15户750羽、依力克其乡12户850羽、依提木孔镇41户2257羽、宗朗乡6户510羽。</t>
  </si>
  <si>
    <t>白杨镇、伯西热克镇、河园镇、江格勒斯乡、金果镇、棋盘乡、恰尔巴格镇、铁提乡、吐古其乡、乌吉热克乡、乌夏巴什镇、夏合甫乡、依力克其乡、依提木孔镇、宗朗乡</t>
  </si>
  <si>
    <t>项目总投资163.792万元
建设内容：肉鸽养殖的1921户163792羽，10元/羽，其中白杨镇41户4150羽、伯西热克镇347户31327羽、河园镇68户1480羽、江格勒斯乡59户4295羽、金果镇46户1180羽、棋盘乡2户2564羽、恰尔巴格镇102户8370羽、铁提乡35户4005羽、吐古其乡726户72600羽、乌吉热克乡4户400羽、乌夏巴什镇274户11621羽、夏合甫乡27户3100羽、依力克其乡33户3430羽、依提木孔镇149户14720羽、宗朗乡8户550羽。</t>
  </si>
  <si>
    <t>白杨镇、伯西热克镇、河园镇、江格勒斯乡、金果镇、洛克乡、恰尔巴格镇、吐古其乡、乌吉热克乡、乌夏巴什镇、夏合甫乡、依力克其乡、依提木孔镇、宗朗乡</t>
  </si>
  <si>
    <t>项目总投资28.1万元
建设内容：新建青贮窖278户281座，1000元/座，其中白杨镇17户17座、伯西热克镇78户79座、河园镇4户4座、江格勒斯乡11户13座、金果镇1户1座、洛克乡1户1座、恰尔巴格镇21户21座、吐古其乡49户49座、乌吉热克乡37户37座、乌夏巴什镇5户5座、夏合甫乡10户10座、依力克其乡1户1座、依提木孔镇13户13座、宗朗乡30户30座。</t>
  </si>
  <si>
    <t>白杨镇、伯西热克镇、江格勒斯乡、金果镇、恰尔巴格镇、吐古其乡、乌吉热克乡、乌夏巴什镇、夏合甫乡、依提木孔镇、宗朗乡</t>
  </si>
  <si>
    <t>项目总投资31.7万元
建设内容：改造青贮窖298户317座，1000元/座，其中白杨镇3户3座、伯西热克镇24户24座、江格勒斯乡5户7座、金果镇2户2座、恰尔巴格镇15户16座、吐古其乡58户58座、乌吉热克乡3户3座、乌夏巴什镇161户177座、夏合甫乡4户4座、依提木孔镇3户3座、宗朗乡20户20座。</t>
  </si>
  <si>
    <t>白杨镇、伯西热克镇、河园镇、江格勒斯乡、金果镇、柯克亚乡、棋盘乡、恰尔巴格镇、铁提乡、吐古其乡、乌吉热克乡、乌夏巴什镇、夏合甫乡、依力克其乡、依提木孔镇、宗朗乡</t>
  </si>
  <si>
    <t>项目总投资282.6万元
建设内容：养殖圈舍设施改造2804户2826座，1000元/座，其中白杨镇409户409座、伯西热克镇197户197座、河园镇171户193座、江格勒斯乡285户285座、金果镇7户7座、柯克亚乡4户4羽、棋盘乡83户83羽、恰尔巴格镇268户268座、铁提乡5户5羽、吐古其乡951户951座、乌吉热克乡48户48座、乌夏巴什镇80户80座、夏合甫乡13户13座、依力克其乡2户2座、依提木孔镇179户179座、宗朗乡102户102座。</t>
  </si>
  <si>
    <t>叶城县2025年砸核桃机补助项目</t>
  </si>
  <si>
    <t>伯西热克镇、河园镇、洛克乡、恰尔巴格镇、吐古其乡、依力克其乡、东城区、中城区</t>
  </si>
  <si>
    <t>项目总投资65.76万元
建设内容：砸核桃机补助1641户1644台，400元/台，其中伯西热克镇481户481台、河园镇45户45台、洛克乡154户154台、恰尔巴格镇2户5台、吐古其乡630户630台、依力克其乡254户254台、东城区20户20台、中城区55户55台。</t>
  </si>
  <si>
    <t>台</t>
  </si>
  <si>
    <t>叶城县各乡镇</t>
  </si>
  <si>
    <t>巴仁乡2村、4村</t>
  </si>
  <si>
    <t>项目总投资396万元
建设内容：林粮间作节水2200亩，1800元/亩，配套沉砂池、泵房及电力设施等。</t>
  </si>
  <si>
    <t>白杨镇7村、20村</t>
  </si>
  <si>
    <t>项目总投资368万元
建设内容：林粮间作节水2045亩，1800元/亩，配套沉砂池、泵房及电力设施等。</t>
  </si>
  <si>
    <t>伯西热克镇1村</t>
  </si>
  <si>
    <t>项目总投资288万元
建设内容：林粮间作节水1600亩，1800元/亩，配套沉砂池、泵房及电力设施等。</t>
  </si>
  <si>
    <t>项目总投资398万元
建设内容：林粮间作节水2260亩，1800元/亩，配套沉砂池、泵房及电力设施等。</t>
  </si>
  <si>
    <t>徐念泽</t>
  </si>
  <si>
    <t>江格勒斯乡5村、7村</t>
  </si>
  <si>
    <t>项目总投资320万元
建设内容：林粮间作节水1788亩，1800元/亩，配套沉砂池、泵房及电力设施等。</t>
  </si>
  <si>
    <t>黄顺斌</t>
  </si>
  <si>
    <t>恰其库木管理区1村、2村、4村</t>
  </si>
  <si>
    <t>吐古其乡1村、4村、5村、8村、14村</t>
  </si>
  <si>
    <t>项目总投资395万元
建设内容：林粮间作节水2367亩，其中：10村1405亩、11村962亩，1668元/亩，配套沉砂池、泵房及电力设施等。</t>
  </si>
  <si>
    <t>依力克其乡14村</t>
  </si>
  <si>
    <t>项目总投资387万元
建设内容：林粮间作节水2150亩，1800元/亩，配套沉砂池、泵房及电力设施等。</t>
  </si>
  <si>
    <t>项目总投资360万元
建设内容：林粮间作节水2000亩，1800元/亩，配套沉砂池、泵房及电力设施等。</t>
  </si>
  <si>
    <t>吴维强</t>
  </si>
  <si>
    <t>项目总投资306万元
建设内容：实施土地碎片化2045亩，1500元/亩。</t>
  </si>
  <si>
    <t>项目总投资390万元
建设内容：实施土地碎片化2600亩，1500元/亩。</t>
  </si>
  <si>
    <t>项目总投资660万元
建设内容：实施土地碎片化4400亩，1500元/亩。</t>
  </si>
  <si>
    <t>项目总投资330万元
建设内容：实施土地碎片化2200亩，1500元/亩。</t>
  </si>
  <si>
    <t>项目总投资525万元
建设内容：实施土地碎片化3500亩，1500元/亩。</t>
  </si>
  <si>
    <t>项目总投资285万元
建设内容：实施土地碎片化1900亩，1500元/亩。</t>
  </si>
  <si>
    <t>项目总投资357万元
建设内容：实施土地碎片化2380亩，1500元/亩。</t>
  </si>
  <si>
    <t>叶城县2025年伯西热克镇石榴定植项目</t>
  </si>
  <si>
    <t>窦晨</t>
  </si>
  <si>
    <t>（四）蔬菜产业提质增效</t>
  </si>
  <si>
    <t>暂缓执行</t>
  </si>
  <si>
    <r>
      <rPr>
        <sz val="28"/>
        <rFont val="仿宋"/>
        <charset val="134"/>
      </rPr>
      <t>项目总投资2000万元
建设内容：生猪养殖区建设120m</t>
    </r>
    <r>
      <rPr>
        <sz val="28"/>
        <rFont val="宋体"/>
        <charset val="134"/>
      </rPr>
      <t>³</t>
    </r>
    <r>
      <rPr>
        <sz val="28"/>
        <rFont val="仿宋"/>
        <charset val="134"/>
      </rPr>
      <t>集粪池1座、20m</t>
    </r>
    <r>
      <rPr>
        <sz val="28"/>
        <rFont val="宋体"/>
        <charset val="134"/>
      </rPr>
      <t>³</t>
    </r>
    <r>
      <rPr>
        <sz val="28"/>
        <rFont val="仿宋"/>
        <charset val="134"/>
      </rPr>
      <t>集粪池6座、0.7万m</t>
    </r>
    <r>
      <rPr>
        <sz val="28"/>
        <rFont val="宋体"/>
        <charset val="134"/>
      </rPr>
      <t>³</t>
    </r>
    <r>
      <rPr>
        <sz val="28"/>
        <rFont val="仿宋"/>
        <charset val="134"/>
      </rPr>
      <t>污水收集池2座，配套固液干湿分离设备7台/套，铺设DE500HDPE管道约1800公里、矩形渠道约1000公里、污水处理设施设备2台/套及附属设施设备等。家禽养殖小区新建200㎡堆粪场15座、100㎡堆粪场7座。</t>
    </r>
  </si>
  <si>
    <t>项目总投资500万元
建设内容：购买肉羊人工授精技术服务，完成全县10万只肉羊同期发情人工授精进，一步提高肉羊经济效益，带动养殖户增产增效。</t>
  </si>
  <si>
    <t>项目总投资200万元
建设内容：购买肉牛性控冻精人工授精技术服务，完成全县1万头肉牛同期发情人工授精，进一步提高肉牛经济效益，带动养殖户增产增效。</t>
  </si>
  <si>
    <t>项目总投资790万元
建设内容：对12村现有农贸市场进行改建，建设1100平方米商铺，完成市场地面硬化5000平方米，规划约市场就业摊位、市场道路，配套完善货物堆放场等市场相关附属设施。
对16村现有农贸市场进行提升改造，完成市场地面硬化8500平方米，规划市场就业摊位、市场道路，配套完善货物堆放场等市场相关附属设施。</t>
  </si>
  <si>
    <t>再研究论证</t>
  </si>
  <si>
    <t>项目投资390万元
建设内容：新建占地46亩蓄水池、沉砂池项目及附属设施配套，约7.7万立方米，覆盖全乡3000亩地用水问题，同时也可发展渔业养殖。</t>
  </si>
  <si>
    <t>项目总投资395万元
建设内容：在洛克乡1村建设占地面积46亩的沉砂池、蓄水池，蓄水量7万立方米，配套附属设施设备等，覆盖全乡5000亩地用水问题。</t>
  </si>
  <si>
    <r>
      <rPr>
        <sz val="28"/>
        <rFont val="仿宋"/>
        <charset val="134"/>
      </rPr>
      <t>项目总投资1700万元
建设内容：铺设矩型渠约21公里，流量0.2-1m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/秒，配套渠系建筑物等。</t>
    </r>
  </si>
  <si>
    <r>
      <rPr>
        <sz val="28"/>
        <rFont val="仿宋"/>
        <charset val="134"/>
      </rPr>
      <t>项目总投资300万元
建设内容：建设0.2m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/s防渗渠4公里，并建设水闸，农桥等附属设施。</t>
    </r>
  </si>
  <si>
    <t>白杨镇20村</t>
  </si>
  <si>
    <r>
      <rPr>
        <sz val="28"/>
        <rFont val="仿宋"/>
        <charset val="134"/>
      </rPr>
      <t>项目总投资395万元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/s防渗渠5.5公里及配套，约75万元/公里。</t>
    </r>
  </si>
  <si>
    <r>
      <rPr>
        <sz val="28"/>
        <rFont val="仿宋"/>
        <charset val="134"/>
      </rPr>
      <t>项目总投资1200万元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/s防渗渠16公里及配套，75万元/公里。</t>
    </r>
  </si>
  <si>
    <r>
      <rPr>
        <sz val="28"/>
        <rFont val="仿宋"/>
        <charset val="134"/>
      </rPr>
      <t>项目总投资900万元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/s防渗渠12公里及配套，75万元/公里。</t>
    </r>
  </si>
  <si>
    <r>
      <rPr>
        <sz val="28"/>
        <rFont val="仿宋"/>
        <charset val="134"/>
      </rPr>
      <t>项目总投资919.8万元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/s防渗渠12.264公里及配套，75万元/公里。</t>
    </r>
  </si>
  <si>
    <r>
      <rPr>
        <sz val="28"/>
        <rFont val="仿宋"/>
        <charset val="134"/>
      </rPr>
      <t>项目总投资675万元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/s防渗渠9公里及配套，75万元/公里。</t>
    </r>
  </si>
  <si>
    <t>杨永春</t>
  </si>
  <si>
    <r>
      <rPr>
        <sz val="28"/>
        <rFont val="仿宋"/>
        <charset val="134"/>
      </rPr>
      <t>项目总投资390万元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/s防渗渠5.2公里及配套，75万元/公里。</t>
    </r>
  </si>
  <si>
    <r>
      <rPr>
        <sz val="28"/>
        <rFont val="仿宋"/>
        <charset val="134"/>
      </rPr>
      <t>项目总投资1125万元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/s防渗渠15公里及配套，75万元/公里。</t>
    </r>
  </si>
  <si>
    <r>
      <rPr>
        <sz val="28"/>
        <rFont val="仿宋"/>
        <charset val="134"/>
      </rPr>
      <t>项目总投资1500万元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/s防渗渠20公里及配套，75万元/公里。</t>
    </r>
  </si>
  <si>
    <r>
      <rPr>
        <sz val="28"/>
        <rFont val="仿宋"/>
        <charset val="134"/>
      </rPr>
      <t>项目总投资1732.5万元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/s防渗渠23.1公里及配套，75万元/公里。</t>
    </r>
  </si>
  <si>
    <r>
      <rPr>
        <sz val="28"/>
        <rFont val="仿宋"/>
        <charset val="134"/>
      </rPr>
      <t>项目总投资397.5万元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/s防渗渠5.3公里及配套，75万元/公里。</t>
    </r>
  </si>
  <si>
    <r>
      <rPr>
        <sz val="28"/>
        <rFont val="仿宋"/>
        <charset val="134"/>
      </rPr>
      <t>项目总投资375万元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/s防渗渠5公里及配套，75万元/公里。</t>
    </r>
  </si>
  <si>
    <r>
      <rPr>
        <sz val="28"/>
        <rFont val="仿宋"/>
        <charset val="134"/>
      </rPr>
      <t>项目总投资441万元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/s防渗渠6.3公里及配套，70万元/公里。</t>
    </r>
  </si>
  <si>
    <t>恰其库木管理区4村、6村</t>
  </si>
  <si>
    <r>
      <rPr>
        <sz val="28"/>
        <rFont val="仿宋"/>
        <charset val="134"/>
      </rPr>
      <t>项目总投资750万元
建设内容：新建0.2-0.8m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/s防渗渠10公里及配套，75万元/公里。</t>
    </r>
  </si>
  <si>
    <t>项目总投资450万元
建设内容：跨省就业2250人，按照每人不超过2000元的标准进行补贴。</t>
  </si>
  <si>
    <t>项目总投资1503.3万元
建设内容：疆内跨地州市（含兵团）就业15033人，按照每人不超过1000元的标准进行补贴。</t>
  </si>
  <si>
    <t>项目总投资64.2万元
建设内容：地区内跨县（含兵团）就业3210人，按照每人不超过200元的标准进行补贴。</t>
  </si>
  <si>
    <t>项目总投资112.2万元
建设内容：自主创业（20㎡以上）561户，按照每户2000元的标准补贴。</t>
  </si>
  <si>
    <t>项目总投资27.6万元
建设内容：自主创业（20㎡以下）276户，按照每户1000元的标准补贴。</t>
  </si>
  <si>
    <t>金森</t>
  </si>
  <si>
    <t>洛克乡、金果镇、恰尔巴格镇、伯西热克镇、乌夏巴什镇、阿克塔什镇、白杨镇</t>
  </si>
  <si>
    <t>项目总投资200万元
建设内容：建设农村公共厕所39座，30㎡/座，配套化粪池，10万元/座。其中洛克乡1座、金果镇4座（40㎡/座，15万元/座）、恰尔巴格镇6座、伯西热克镇2座、乌夏巴什镇3座、阿克塔什镇2座。</t>
  </si>
  <si>
    <t>叶城县农村饮水安全工程建设服务站</t>
  </si>
  <si>
    <t>唐海军</t>
  </si>
  <si>
    <r>
      <rPr>
        <sz val="28"/>
        <rFont val="仿宋"/>
        <charset val="134"/>
      </rPr>
      <t>新建0.6-1m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/s防渗渠5.6公里，配套渠系建筑物124座。</t>
    </r>
  </si>
  <si>
    <t>西合休乡</t>
  </si>
  <si>
    <t>尹建军</t>
  </si>
  <si>
    <r>
      <rPr>
        <sz val="28"/>
        <rFont val="仿宋"/>
        <charset val="134"/>
      </rPr>
      <t>新建0.2-1.0m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/s防渗渠约5.62公里及附属设施。本次建设5条渠道，配套渠系建筑物33座</t>
    </r>
  </si>
  <si>
    <t>修建 0.2-0.8m3/s防渗渠道5.5公里，并配套渠系建筑物。</t>
  </si>
  <si>
    <r>
      <rPr>
        <sz val="28"/>
        <rFont val="仿宋"/>
        <charset val="134"/>
      </rPr>
      <t>新建0.2-1m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/s防渗渠约3.9公里及附属设施。</t>
    </r>
  </si>
  <si>
    <r>
      <rPr>
        <sz val="28"/>
        <rFont val="仿宋"/>
        <charset val="134"/>
      </rPr>
      <t>新建防渗渠3公里，其中：0.8m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/S流量300米，0.5流量2.7公里</t>
    </r>
  </si>
  <si>
    <r>
      <rPr>
        <sz val="28"/>
        <rFont val="仿宋"/>
        <charset val="134"/>
      </rPr>
      <t>新建0.2-0.8m</t>
    </r>
    <r>
      <rPr>
        <sz val="28"/>
        <rFont val="宋体"/>
        <charset val="134"/>
      </rPr>
      <t>³</t>
    </r>
    <r>
      <rPr>
        <sz val="28"/>
        <rFont val="仿宋"/>
        <charset val="134"/>
      </rPr>
      <t>/s防渗渠约5.5公里及附属设施</t>
    </r>
  </si>
  <si>
    <t>项目总投资1800万元。
建设内容：资助对象为就读于中职、中专（成人中专）、技工、高职等接受职业教育的叶城县户籍脱贫户家庭子女（含监测帮扶对象家庭子女）的实施补助，每人补助3000元，预计享受学生6000人。</t>
  </si>
  <si>
    <t>叶城县2025年吐古其乡13村农村污水治理项目</t>
  </si>
  <si>
    <t>吐古其乡13村</t>
  </si>
  <si>
    <t>项目投资：716万元
建设内容：1、新建污水管网10公里，配套检查井、化粪池等附属设施，计划投资600万元，涉及农户262户；2、对原老砖厂80亩地进行复耕修复，每亩10000元，计划投资80万元；3、在复耕土地及辖区房前绿化带种植“大马士革”玫瑰60000株，每株6元，计划投资36万元。</t>
  </si>
  <si>
    <t>叶城县2025年阿克塔什镇6村示范村建设项目</t>
  </si>
  <si>
    <t>阿克塔什镇6村</t>
  </si>
  <si>
    <t>项目投资：1800万元
建设内容：1、对阿克塔什镇鲜果基地2040亩果品进行嫁接改优，其中：苹果1320亩(嫁接香妃海棠、水蜜桃苹果、瑞雪），梨子510亩（嫁接红啤梨），杏子210亩（嫁接金玉）。
2、高效节水4100亩。
3、新建水系管网2.5公里及附属配套设施。</t>
  </si>
  <si>
    <t>叶城县巴仁乡4村示范村乡村建设项目</t>
  </si>
  <si>
    <t>巴仁乡4村</t>
  </si>
  <si>
    <t>项目投资：1000万元
建设内容：新建污水管网15公里，涉及432户。</t>
  </si>
  <si>
    <t>叶城县巴仁乡10村示范村乡村建设项目</t>
  </si>
  <si>
    <t>项目投资：950万元
建设内容：1、林粮间作节水灌溉500亩，配套沉砂池等附属设施；2、新建污水管网13.5公里，及附属设施，涉及400户。</t>
  </si>
  <si>
    <t>叶城县2025年白杨镇7村示范村乡村建设项目</t>
  </si>
  <si>
    <t>白杨镇7村</t>
  </si>
  <si>
    <t>项目投资：500万元
建设内容：实施207户污水管网建设，配套防渗渠建设6.7公里，依托水资源推进农家乐发展水上休闲娱乐，打造民俗休闲娱乐场地。提升沿路环境，进行核桃改良、提质增效。</t>
  </si>
  <si>
    <t>叶城县2025年伯西热克镇15村休闲农业与乡村旅游项目</t>
  </si>
  <si>
    <t>休闲农业与乡村旅游</t>
  </si>
  <si>
    <t>伯西热克镇15村</t>
  </si>
  <si>
    <t>项目投资：800万元
建设内容：伯西热克镇15村新建一栋地下1层、地上2层4000平米的石榴温泉休闲中心。</t>
  </si>
  <si>
    <t>通过村委会+农户+公司运营收益助农的模式，投产后预计增加40个就业岗位，极大扩展农文旅载体、提升乡村旅游品牌。</t>
  </si>
  <si>
    <t>叶城县2025年伯西热克镇11村产业园建设项目</t>
  </si>
  <si>
    <t>项目投资：160万元
建设内容：采购破碎机2台，除尘环保设备等，</t>
  </si>
  <si>
    <t>叶城县2025年依力克其乡12村示范村建设项目</t>
  </si>
  <si>
    <t>依力克其乡12村</t>
  </si>
  <si>
    <r>
      <rPr>
        <sz val="16"/>
        <rFont val="仿宋"/>
        <charset val="134"/>
      </rPr>
      <t>项目投资：1200万元
建设内容：①新建林粮间作节水 2000 亩，1800 元/亩，总投资360万元；②新建 0.2-0.8m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 防渗渠5km，75 万元/km，总投资 375 万元；③土地平整1900亩，1500 元/亩，总投资 285万元；④道路提升改造 8000 ㎡，总投资96万元；⑤配套水电及其附属设施。</t>
    </r>
  </si>
  <si>
    <t>叶城县2025年乌夏巴什镇11村示范村建设项目</t>
  </si>
  <si>
    <t>乌夏巴什镇11村</t>
  </si>
  <si>
    <t>项目投资：606万元
建设内容：土地碎片化整理1184亩，防渗渠5.7公里，及其附属设施。</t>
  </si>
  <si>
    <t>项目总投资：2870万元
建设内容：1.发展水产养殖170亩，并配套水产育苗设备1套；
2.新建砂砾石道路1.54公里、新建木桥两座、地坪硬化4000平方米等其他配套附属设施；
3.新建污水管网7公里及灌溉管网4.6公里，5000平方米渠道改造提升，及村容村貌改造与提升等。</t>
  </si>
  <si>
    <t>叶城县宗朗乡5村示范村乡村建设项目</t>
  </si>
  <si>
    <t>宗朗乡5村</t>
  </si>
  <si>
    <t>项目资金：780万元
建设内容：新建污水管网10公里，配套检查井等附属设施，涉及292户。</t>
  </si>
  <si>
    <t>叶城县2025年依提木孔镇15村示范村乡村建设项目</t>
  </si>
  <si>
    <t>依提木孔镇15村</t>
  </si>
  <si>
    <t>项目总投1000万元
建设内容：新建7000平方米玻璃温室及附属配套</t>
  </si>
  <si>
    <t>叶城县2025年依提木孔镇11村示范村乡村建设项目</t>
  </si>
  <si>
    <t>依提木孔镇11村</t>
  </si>
  <si>
    <t>项目总投资1670万元
建设内容：土地碎片化整理250亩,1500元/亩,苗圃建设150亩(杨树苗50亩,杏树50亩绿化苗木50亩),定植开心果50亩,花椒50亩;投资1500万元,新建10000平方米农家乐1座及附属设施配套。投资585万元,新建污水管网9公里及附属配套,65万元/公里</t>
  </si>
  <si>
    <t>叶城县2025年依提木孔镇21村示范村乡村建设项目</t>
  </si>
  <si>
    <t>依提木孔镇21村</t>
  </si>
  <si>
    <r>
      <rPr>
        <sz val="16"/>
        <rFont val="仿宋"/>
        <charset val="134"/>
      </rPr>
      <t>项目总投资600万元
建设内容：实施土地碎片化整理</t>
    </r>
    <r>
      <rPr>
        <b/>
        <sz val="18"/>
        <color indexed="10"/>
        <rFont val="仿宋"/>
        <charset val="134"/>
      </rPr>
      <t>200</t>
    </r>
    <r>
      <rPr>
        <sz val="16"/>
        <rFont val="仿宋"/>
        <charset val="134"/>
      </rPr>
      <t>亩，1500元/亩。种植开心果200亩套种玫瑰花,新建污水管网7公里及附属配套,65万元/公里。</t>
    </r>
  </si>
  <si>
    <t>洛克乡玉吉米力克（7）村示范村建设项目</t>
  </si>
  <si>
    <t>洛克乡7村</t>
  </si>
  <si>
    <t>1、林粮间作节水设施配套900亩，配套沉砂池、泵房及电力设施等，2、实施土地平整、林果提质增效900亩包含复合肥、尿素、修剪、嫁接等</t>
  </si>
  <si>
    <t>900亩</t>
  </si>
  <si>
    <t>叶城县2025年洛克乡养殖小区（二期）建设及设施设备配套项目</t>
  </si>
  <si>
    <t>养殖基地</t>
  </si>
  <si>
    <t>洛克乡江尕勒吐格曼（1）村</t>
  </si>
  <si>
    <t>项目总投资：550万元
项目建设内容：洛克乡建设4座标准化肉牛养殖棚圈，每座棚圈500㎡，配套饲草料库、青贮窖、堆粪场、防疫诊疗消毒基础设施。
项目建设地点：洛克乡江尕勒吐格曼（1）村</t>
  </si>
  <si>
    <t>项目总投资：1875万元。
建设内容：新建温室大棚37500平方米，折合50*10米标准温室大棚75座，25万元/座，及附属配套建设。</t>
  </si>
  <si>
    <t>乡镇</t>
  </si>
  <si>
    <t>资金量</t>
  </si>
  <si>
    <t>占比</t>
  </si>
  <si>
    <t>公共厕所</t>
  </si>
  <si>
    <t>产业到户项目</t>
  </si>
  <si>
    <t>村庄规划编制（含修编）补助</t>
  </si>
  <si>
    <t>公共服务岗位</t>
  </si>
  <si>
    <t>农村危房改造等农房改造</t>
  </si>
  <si>
    <t>少数民族特色村寨建设项目</t>
  </si>
  <si>
    <t>“一站式”社区综合服务设施建设</t>
  </si>
  <si>
    <t>帮扶车间（特色手工基地）建设</t>
  </si>
  <si>
    <t>产业路、资源路、旅游路建设</t>
  </si>
  <si>
    <t>林草基地建设</t>
  </si>
  <si>
    <t>以工代训</t>
  </si>
  <si>
    <t>农村电网建设（通生产、生活用电、提高综合电压和供电可靠性）</t>
  </si>
  <si>
    <t>光伏电站建设</t>
  </si>
  <si>
    <t>创业培训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</si>
  <si>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</si>
  <si>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</si>
  <si>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乡村工匠培育培训</t>
  </si>
  <si>
    <t>农业农村基础设施中长期贷款贴息</t>
  </si>
  <si>
    <t>乡村工匠大师工作室</t>
  </si>
  <si>
    <t>品牌打造和展销平台</t>
  </si>
  <si>
    <t>乡村工匠传习所</t>
  </si>
  <si>
    <t>小型农田水利设施建设</t>
  </si>
  <si>
    <t>农村垃圾治理</t>
  </si>
  <si>
    <t>学校建设或改造（含幼儿园）</t>
  </si>
  <si>
    <t>村卫生室标准化建设</t>
  </si>
  <si>
    <t>人才培养</t>
  </si>
  <si>
    <t>农村养老设施建设（养老院、幸福院、日间照料中心等）</t>
  </si>
  <si>
    <t>公共照明设施</t>
  </si>
  <si>
    <t>开展县乡村公共服务一体化示范创建</t>
  </si>
  <si>
    <t>小额信贷风险补偿金</t>
  </si>
  <si>
    <t>其他（便民综合服务设施、文化活动广场、体育设施、村级客运站、农村公益性殡葬设施建设等）</t>
  </si>
  <si>
    <t>特色产业保险保费补助</t>
  </si>
  <si>
    <t>新型经营主体贷款贴息</t>
  </si>
  <si>
    <t>防贫保险（基金）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</si>
</sst>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</numFmts>
  <fonts count="51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方正仿宋_GBK"/>
      <charset val="134"/>
    </font>
    <font>
      <b/>
      <sz val="16"/>
      <name val="黑体"/>
      <charset val="134"/>
    </font>
    <font>
      <b/>
      <sz val="16"/>
      <name val="仿宋"/>
      <charset val="134"/>
    </font>
    <font>
      <sz val="16"/>
      <name val="仿宋"/>
      <charset val="134"/>
    </font>
    <font>
      <sz val="18"/>
      <name val="仿宋"/>
      <charset val="134"/>
    </font>
    <font>
      <sz val="11"/>
      <name val="方正小标宋_GBK"/>
      <charset val="134"/>
    </font>
    <font>
      <sz val="22"/>
      <name val="方正小标宋_GBK"/>
      <charset val="134"/>
    </font>
    <font>
      <b/>
      <sz val="16"/>
      <name val="宋体"/>
      <charset val="134"/>
    </font>
    <font>
      <b/>
      <sz val="22"/>
      <name val="仿宋"/>
      <charset val="134"/>
    </font>
    <font>
      <b/>
      <sz val="28"/>
      <name val="仿宋"/>
      <charset val="134"/>
    </font>
    <font>
      <sz val="28"/>
      <name val="仿宋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等线"/>
      <charset val="134"/>
      <scheme val="minor"/>
    </font>
    <font>
      <sz val="36"/>
      <name val="方正小标宋_GBK"/>
      <charset val="134"/>
    </font>
    <font>
      <sz val="22"/>
      <name val="仿宋"/>
      <charset val="134"/>
    </font>
    <font>
      <sz val="28"/>
      <name val="方正仿宋_GBK"/>
      <charset val="134"/>
    </font>
    <font>
      <sz val="20"/>
      <name val="仿宋"/>
      <charset val="134"/>
    </font>
    <font>
      <b/>
      <sz val="20"/>
      <name val="仿宋"/>
      <charset val="134"/>
    </font>
    <font>
      <sz val="20"/>
      <name val="方正仿宋_GBK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4"/>
      <name val="黑体"/>
      <charset val="134"/>
    </font>
    <font>
      <sz val="16"/>
      <color rgb="FFFF0000"/>
      <name val="仿宋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</font>
    <font>
      <b/>
      <sz val="18"/>
      <color indexed="10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 wrapText="1"/>
    </xf>
    <xf numFmtId="176" fontId="13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0" xfId="0" applyFont="1" applyFill="1" applyBorder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6" fontId="16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0" fontId="11" fillId="0" borderId="1" xfId="3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10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1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0" fontId="20" fillId="0" borderId="1" xfId="3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3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22" fillId="0" borderId="1" xfId="0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left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176" fontId="5" fillId="0" borderId="8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10" fontId="4" fillId="5" borderId="1" xfId="3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5806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5806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5806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5806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5806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757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1780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757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757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757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14249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10160</xdr:rowOff>
    </xdr:to>
    <xdr:pic>
      <xdr:nvPicPr>
        <xdr:cNvPr id="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757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10160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4028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10160</xdr:rowOff>
    </xdr:to>
    <xdr:pic>
      <xdr:nvPicPr>
        <xdr:cNvPr id="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299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75140" y="15138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11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216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10160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216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216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216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216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11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11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11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11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393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831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10160</xdr:rowOff>
    </xdr:to>
    <xdr:pic>
      <xdr:nvPicPr>
        <xdr:cNvPr id="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393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393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10160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393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4470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393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154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4470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2580" y="279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4295" y="411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132</xdr:row>
      <xdr:rowOff>0</xdr:rowOff>
    </xdr:from>
    <xdr:to>
      <xdr:col>7</xdr:col>
      <xdr:colOff>9525</xdr:colOff>
      <xdr:row>132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201428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9525</xdr:colOff>
      <xdr:row>80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12887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9525</xdr:colOff>
      <xdr:row>94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147478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9525</xdr:colOff>
      <xdr:row>71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116185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9525</xdr:colOff>
      <xdr:row>78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12630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9525</xdr:colOff>
      <xdr:row>67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10977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9525</xdr:colOff>
      <xdr:row>139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7185" y="209632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110</xdr:row>
      <xdr:rowOff>0</xdr:rowOff>
    </xdr:from>
    <xdr:to>
      <xdr:col>7</xdr:col>
      <xdr:colOff>9525</xdr:colOff>
      <xdr:row>110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95484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</xdr:colOff>
      <xdr:row>64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2757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9525</xdr:colOff>
      <xdr:row>76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4975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19913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</xdr:colOff>
      <xdr:row>62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24872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1811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9525</xdr:colOff>
      <xdr:row>117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20878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9525</xdr:colOff>
      <xdr:row>56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163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43338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7365" y="1263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66"/>
  <sheetViews>
    <sheetView showZeros="0" zoomScale="85" zoomScaleNormal="85" workbookViewId="0">
      <pane ySplit="6" topLeftCell="A7" activePane="bottomLeft" state="frozen"/>
      <selection/>
      <selection pane="bottomLeft" activeCell="H11" sqref="H11"/>
    </sheetView>
  </sheetViews>
  <sheetFormatPr defaultColWidth="9" defaultRowHeight="17.5"/>
  <cols>
    <col min="1" max="1" width="5.84615384615385" style="29" customWidth="1"/>
    <col min="2" max="2" width="13.5692307692308" style="30" customWidth="1"/>
    <col min="3" max="3" width="33.0692307692308" style="30" customWidth="1"/>
    <col min="4" max="4" width="14.0769230769231" style="30" customWidth="1"/>
    <col min="5" max="5" width="13.6923076923077" style="30" customWidth="1"/>
    <col min="6" max="6" width="7.16923076923077" style="30" customWidth="1"/>
    <col min="7" max="7" width="26.1461538461538" style="30" customWidth="1"/>
    <col min="8" max="8" width="80.2923076923077" style="31" customWidth="1"/>
    <col min="9" max="9" width="11" style="31" customWidth="1"/>
    <col min="10" max="10" width="12.8538461538462" style="31" customWidth="1"/>
    <col min="11" max="11" width="15.7538461538462" style="31" customWidth="1"/>
    <col min="12" max="15" width="16.5384615384615" style="32" customWidth="1"/>
    <col min="16" max="16" width="12.3076923076923" style="32" customWidth="1"/>
    <col min="17" max="17" width="13.5384615384615" style="32" customWidth="1"/>
    <col min="18" max="20" width="11" style="30" customWidth="1"/>
    <col min="21" max="22" width="13.5384615384615" style="30" customWidth="1"/>
    <col min="23" max="23" width="10.8538461538462" style="30" customWidth="1"/>
    <col min="24" max="24" width="13.9846153846154" style="145" customWidth="1"/>
    <col min="25" max="25" width="13.9846153846154" style="146" customWidth="1"/>
    <col min="26" max="26" width="16.2230769230769" style="33" customWidth="1"/>
    <col min="27" max="27" width="16.2230769230769" style="34" customWidth="1"/>
    <col min="28" max="28" width="15.6153846153846" style="33" customWidth="1"/>
    <col min="29" max="29" width="9" style="35"/>
    <col min="30" max="30" width="10.2307692307692" style="35"/>
    <col min="31" max="16384" width="9" style="35"/>
  </cols>
  <sheetData>
    <row r="1" s="41" customFormat="1" ht="59" customHeight="1" spans="1:28">
      <c r="A1" s="37" t="s">
        <v>0</v>
      </c>
      <c r="B1" s="37"/>
      <c r="C1" s="37"/>
      <c r="D1" s="38"/>
      <c r="E1" s="38"/>
      <c r="F1" s="38"/>
      <c r="G1" s="37"/>
      <c r="H1" s="37"/>
      <c r="I1" s="37"/>
      <c r="J1" s="37"/>
      <c r="K1" s="37"/>
      <c r="L1" s="39"/>
      <c r="M1" s="40"/>
      <c r="N1" s="40"/>
      <c r="O1" s="40"/>
      <c r="P1" s="40"/>
      <c r="Q1" s="40"/>
      <c r="R1" s="38"/>
      <c r="S1" s="38"/>
      <c r="T1" s="38"/>
      <c r="U1" s="38"/>
      <c r="V1" s="38"/>
      <c r="W1" s="38"/>
      <c r="X1" s="160"/>
      <c r="Y1" s="37"/>
      <c r="Z1" s="37"/>
      <c r="AA1" s="37"/>
      <c r="AB1" s="37"/>
    </row>
    <row r="2" s="46" customFormat="1" ht="38" customHeight="1" spans="1:28">
      <c r="A2" s="42" t="s">
        <v>1</v>
      </c>
      <c r="B2" s="42"/>
      <c r="C2" s="42"/>
      <c r="D2" s="42"/>
      <c r="E2" s="43"/>
      <c r="F2" s="42"/>
      <c r="G2" s="42"/>
      <c r="H2" s="44"/>
      <c r="I2" s="42"/>
      <c r="J2" s="42"/>
      <c r="K2" s="42"/>
      <c r="L2" s="45"/>
      <c r="M2" s="45"/>
      <c r="N2" s="45"/>
      <c r="O2" s="161"/>
      <c r="P2" s="161"/>
      <c r="Q2" s="45"/>
      <c r="R2" s="42"/>
      <c r="S2" s="42"/>
      <c r="T2" s="42"/>
      <c r="U2" s="42"/>
      <c r="V2" s="42"/>
      <c r="W2" s="42"/>
      <c r="X2" s="44"/>
      <c r="Y2" s="42"/>
      <c r="Z2" s="42"/>
      <c r="AA2" s="42"/>
      <c r="AB2" s="42"/>
    </row>
    <row r="3" s="47" customFormat="1" ht="28" customHeight="1" spans="1:2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2" t="s">
        <v>12</v>
      </c>
      <c r="L3" s="11" t="s">
        <v>13</v>
      </c>
      <c r="M3" s="11" t="s">
        <v>14</v>
      </c>
      <c r="N3" s="11"/>
      <c r="O3" s="51"/>
      <c r="P3" s="51"/>
      <c r="Q3" s="11"/>
      <c r="R3" s="10"/>
      <c r="S3" s="10"/>
      <c r="T3" s="10"/>
      <c r="U3" s="10"/>
      <c r="V3" s="10"/>
      <c r="W3" s="10"/>
      <c r="X3" s="12" t="s">
        <v>10</v>
      </c>
      <c r="Y3" s="12" t="s">
        <v>15</v>
      </c>
      <c r="Z3" s="10" t="s">
        <v>16</v>
      </c>
      <c r="AA3" s="10" t="s">
        <v>15</v>
      </c>
      <c r="AB3" s="10" t="s">
        <v>17</v>
      </c>
    </row>
    <row r="4" s="47" customFormat="1" ht="28" customHeight="1" spans="1:28">
      <c r="A4" s="10"/>
      <c r="B4" s="10"/>
      <c r="C4" s="10"/>
      <c r="D4" s="10"/>
      <c r="E4" s="10"/>
      <c r="F4" s="10"/>
      <c r="G4" s="10"/>
      <c r="H4" s="10"/>
      <c r="I4" s="10"/>
      <c r="J4" s="10"/>
      <c r="K4" s="105"/>
      <c r="L4" s="11"/>
      <c r="M4" s="11" t="s">
        <v>18</v>
      </c>
      <c r="N4" s="11"/>
      <c r="O4" s="11"/>
      <c r="P4" s="11"/>
      <c r="Q4" s="11"/>
      <c r="R4" s="10"/>
      <c r="S4" s="10"/>
      <c r="T4" s="10"/>
      <c r="U4" s="10" t="s">
        <v>19</v>
      </c>
      <c r="V4" s="10" t="s">
        <v>20</v>
      </c>
      <c r="W4" s="162" t="s">
        <v>21</v>
      </c>
      <c r="X4" s="105"/>
      <c r="Y4" s="105"/>
      <c r="Z4" s="10"/>
      <c r="AA4" s="10"/>
      <c r="AB4" s="10"/>
    </row>
    <row r="5" s="47" customFormat="1" ht="35" customHeight="1" spans="1:28">
      <c r="A5" s="10"/>
      <c r="B5" s="10"/>
      <c r="C5" s="10"/>
      <c r="D5" s="10"/>
      <c r="E5" s="10"/>
      <c r="F5" s="10"/>
      <c r="G5" s="10"/>
      <c r="H5" s="10"/>
      <c r="I5" s="10"/>
      <c r="J5" s="10"/>
      <c r="K5" s="105"/>
      <c r="L5" s="11"/>
      <c r="M5" s="48" t="s">
        <v>22</v>
      </c>
      <c r="N5" s="49" t="s">
        <v>23</v>
      </c>
      <c r="O5" s="50"/>
      <c r="P5" s="48" t="s">
        <v>24</v>
      </c>
      <c r="Q5" s="48" t="s">
        <v>25</v>
      </c>
      <c r="R5" s="12" t="s">
        <v>26</v>
      </c>
      <c r="S5" s="12" t="s">
        <v>27</v>
      </c>
      <c r="T5" s="12" t="s">
        <v>28</v>
      </c>
      <c r="U5" s="10"/>
      <c r="V5" s="10"/>
      <c r="W5" s="162"/>
      <c r="X5" s="105"/>
      <c r="Y5" s="105"/>
      <c r="Z5" s="10"/>
      <c r="AA5" s="10"/>
      <c r="AB5" s="10"/>
    </row>
    <row r="6" s="47" customFormat="1" ht="35" customHeight="1" spans="1:28">
      <c r="A6" s="10"/>
      <c r="B6" s="10"/>
      <c r="C6" s="10"/>
      <c r="D6" s="10"/>
      <c r="E6" s="10"/>
      <c r="F6" s="10"/>
      <c r="G6" s="10"/>
      <c r="H6" s="10"/>
      <c r="I6" s="10"/>
      <c r="J6" s="10"/>
      <c r="K6" s="52"/>
      <c r="L6" s="11"/>
      <c r="M6" s="51"/>
      <c r="N6" s="11" t="s">
        <v>29</v>
      </c>
      <c r="O6" s="11" t="s">
        <v>30</v>
      </c>
      <c r="P6" s="51"/>
      <c r="Q6" s="51"/>
      <c r="R6" s="52"/>
      <c r="S6" s="52"/>
      <c r="T6" s="52"/>
      <c r="U6" s="10"/>
      <c r="V6" s="10"/>
      <c r="W6" s="162"/>
      <c r="X6" s="52"/>
      <c r="Y6" s="52"/>
      <c r="Z6" s="10"/>
      <c r="AA6" s="10"/>
      <c r="AB6" s="10"/>
    </row>
    <row r="7" s="156" customFormat="1" ht="43" customHeight="1" spans="1:28">
      <c r="A7" s="13" t="s">
        <v>31</v>
      </c>
      <c r="B7" s="13"/>
      <c r="C7" s="13"/>
      <c r="D7" s="13"/>
      <c r="E7" s="13"/>
      <c r="F7" s="13"/>
      <c r="G7" s="13"/>
      <c r="H7" s="13">
        <f>SUM(H8,H52,H56,H63,H65)</f>
        <v>29</v>
      </c>
      <c r="I7" s="14"/>
      <c r="J7" s="14"/>
      <c r="K7" s="14">
        <f>SUM(K8,K52,K56,K63,K65)</f>
        <v>32652.48</v>
      </c>
      <c r="L7" s="14">
        <f>SUM(L8,L52,L56,L63,L65)</f>
        <v>22806.879719</v>
      </c>
      <c r="M7" s="14">
        <f>SUM(M8,M52,M56,M63,M65)</f>
        <v>22806.879719</v>
      </c>
      <c r="N7" s="14">
        <f>SUM(N8,N52,N56,N63,N65)</f>
        <v>12889.2</v>
      </c>
      <c r="O7" s="14">
        <f>SUM(O8,O52,O56,O63,O65)</f>
        <v>9917.679719</v>
      </c>
      <c r="P7" s="14">
        <f t="shared" ref="P7:W7" si="0">SUM(P8,P52,P56,P63,P65)</f>
        <v>0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63"/>
      <c r="Y7" s="14"/>
      <c r="Z7" s="15"/>
      <c r="AA7" s="15"/>
      <c r="AB7" s="15"/>
    </row>
    <row r="8" s="157" customFormat="1" ht="43" customHeight="1" spans="1:28">
      <c r="A8" s="164" t="s">
        <v>32</v>
      </c>
      <c r="B8" s="165" t="s">
        <v>33</v>
      </c>
      <c r="C8" s="166"/>
      <c r="D8" s="167"/>
      <c r="E8" s="164"/>
      <c r="F8" s="164"/>
      <c r="G8" s="164"/>
      <c r="H8" s="164">
        <f>SUM(H9,H34)</f>
        <v>22</v>
      </c>
      <c r="I8" s="168"/>
      <c r="J8" s="168">
        <f>L8/L7</f>
        <v>0.601502699537256</v>
      </c>
      <c r="K8" s="169">
        <f>SUM(K9,K34)</f>
        <v>22773.6</v>
      </c>
      <c r="L8" s="169">
        <f>SUM(L9,L34)</f>
        <v>13718.399719</v>
      </c>
      <c r="M8" s="169">
        <f>SUM(M9,M34)</f>
        <v>13718.399719</v>
      </c>
      <c r="N8" s="169">
        <f>SUM(N9,N34)</f>
        <v>8565</v>
      </c>
      <c r="O8" s="169">
        <f>SUM(O9,O34)</f>
        <v>5153.399719</v>
      </c>
      <c r="P8" s="169">
        <f t="shared" ref="P8:W8" si="1">SUM(P9,P34)</f>
        <v>0</v>
      </c>
      <c r="Q8" s="169">
        <f t="shared" si="1"/>
        <v>0</v>
      </c>
      <c r="R8" s="169">
        <f t="shared" si="1"/>
        <v>0</v>
      </c>
      <c r="S8" s="169">
        <f t="shared" si="1"/>
        <v>0</v>
      </c>
      <c r="T8" s="169">
        <f t="shared" si="1"/>
        <v>0</v>
      </c>
      <c r="U8" s="169">
        <f t="shared" si="1"/>
        <v>0</v>
      </c>
      <c r="V8" s="169">
        <f t="shared" si="1"/>
        <v>0</v>
      </c>
      <c r="W8" s="169">
        <f t="shared" si="1"/>
        <v>0</v>
      </c>
      <c r="X8" s="169"/>
      <c r="Y8" s="169"/>
      <c r="Z8" s="169"/>
      <c r="AA8" s="169"/>
      <c r="AB8" s="169"/>
    </row>
    <row r="9" s="157" customFormat="1" ht="43" customHeight="1" spans="1:28">
      <c r="A9" s="170" t="s">
        <v>34</v>
      </c>
      <c r="B9" s="170"/>
      <c r="C9" s="170"/>
      <c r="D9" s="167"/>
      <c r="E9" s="164"/>
      <c r="F9" s="164"/>
      <c r="G9" s="164"/>
      <c r="H9" s="164">
        <v>16</v>
      </c>
      <c r="I9" s="168"/>
      <c r="J9" s="168"/>
      <c r="K9" s="169">
        <f>SUM(K10:K33)</f>
        <v>9021</v>
      </c>
      <c r="L9" s="169">
        <f>SUM(L10:L33)</f>
        <v>3711.399719</v>
      </c>
      <c r="M9" s="169">
        <f>SUM(M10:M33)</f>
        <v>3711.399719</v>
      </c>
      <c r="N9" s="169">
        <f>SUM(N10:N33)</f>
        <v>1738</v>
      </c>
      <c r="O9" s="169">
        <f>SUM(O10:O33)</f>
        <v>1973.399719</v>
      </c>
      <c r="P9" s="169">
        <f t="shared" ref="P9:W9" si="2">SUM(P10:P33)</f>
        <v>0</v>
      </c>
      <c r="Q9" s="169">
        <f t="shared" si="2"/>
        <v>0</v>
      </c>
      <c r="R9" s="169">
        <f t="shared" si="2"/>
        <v>0</v>
      </c>
      <c r="S9" s="169">
        <f t="shared" si="2"/>
        <v>0</v>
      </c>
      <c r="T9" s="169">
        <f t="shared" si="2"/>
        <v>0</v>
      </c>
      <c r="U9" s="169">
        <f t="shared" si="2"/>
        <v>0</v>
      </c>
      <c r="V9" s="169">
        <f t="shared" si="2"/>
        <v>0</v>
      </c>
      <c r="W9" s="169">
        <f t="shared" si="2"/>
        <v>0</v>
      </c>
      <c r="X9" s="170"/>
      <c r="Y9" s="164"/>
      <c r="Z9" s="171"/>
      <c r="AA9" s="171"/>
      <c r="AB9" s="171"/>
    </row>
    <row r="10" s="158" customFormat="1" ht="70" customHeight="1" spans="1:28">
      <c r="A10" s="16">
        <v>1</v>
      </c>
      <c r="B10" s="16" t="s">
        <v>35</v>
      </c>
      <c r="C10" s="16" t="s">
        <v>36</v>
      </c>
      <c r="D10" s="16" t="s">
        <v>33</v>
      </c>
      <c r="E10" s="16" t="s">
        <v>37</v>
      </c>
      <c r="F10" s="16" t="s">
        <v>38</v>
      </c>
      <c r="G10" s="16" t="s">
        <v>39</v>
      </c>
      <c r="H10" s="178" t="s">
        <v>40</v>
      </c>
      <c r="I10" s="16" t="s">
        <v>41</v>
      </c>
      <c r="J10" s="16">
        <v>2200</v>
      </c>
      <c r="K10" s="16">
        <v>396</v>
      </c>
      <c r="L10" s="20">
        <f>SUM(M10,U10,V10,W10)</f>
        <v>70</v>
      </c>
      <c r="M10" s="20">
        <f>SUM(N10:T10)</f>
        <v>70</v>
      </c>
      <c r="N10" s="20">
        <v>70</v>
      </c>
      <c r="O10" s="20"/>
      <c r="P10" s="20"/>
      <c r="Q10" s="20"/>
      <c r="R10" s="16"/>
      <c r="S10" s="16"/>
      <c r="T10" s="16"/>
      <c r="U10" s="16"/>
      <c r="V10" s="16"/>
      <c r="W10" s="16"/>
      <c r="X10" s="16" t="s">
        <v>42</v>
      </c>
      <c r="Y10" s="16" t="s">
        <v>43</v>
      </c>
      <c r="Z10" s="16" t="s">
        <v>44</v>
      </c>
      <c r="AA10" s="16" t="s">
        <v>45</v>
      </c>
      <c r="AB10" s="16">
        <v>300</v>
      </c>
    </row>
    <row r="11" s="158" customFormat="1" ht="70" customHeight="1" spans="1:28">
      <c r="A11" s="16">
        <v>2</v>
      </c>
      <c r="B11" s="16" t="s">
        <v>46</v>
      </c>
      <c r="C11" s="16" t="s">
        <v>47</v>
      </c>
      <c r="D11" s="16" t="s">
        <v>33</v>
      </c>
      <c r="E11" s="16" t="s">
        <v>37</v>
      </c>
      <c r="F11" s="16" t="s">
        <v>38</v>
      </c>
      <c r="G11" s="16" t="s">
        <v>48</v>
      </c>
      <c r="H11" s="178" t="s">
        <v>49</v>
      </c>
      <c r="I11" s="16" t="s">
        <v>41</v>
      </c>
      <c r="J11" s="16">
        <v>2200</v>
      </c>
      <c r="K11" s="16">
        <v>395</v>
      </c>
      <c r="L11" s="20">
        <f t="shared" ref="L11:L33" si="3">SUM(M11,U11,V11,W11)</f>
        <v>20</v>
      </c>
      <c r="M11" s="20">
        <f t="shared" ref="M11:M33" si="4">SUM(N11:T11)</f>
        <v>20</v>
      </c>
      <c r="N11" s="20">
        <v>20</v>
      </c>
      <c r="O11" s="20"/>
      <c r="P11" s="20"/>
      <c r="Q11" s="20"/>
      <c r="R11" s="16"/>
      <c r="S11" s="16"/>
      <c r="T11" s="16"/>
      <c r="U11" s="16"/>
      <c r="V11" s="16"/>
      <c r="W11" s="16"/>
      <c r="X11" s="16" t="s">
        <v>48</v>
      </c>
      <c r="Y11" s="16" t="s">
        <v>50</v>
      </c>
      <c r="Z11" s="16" t="s">
        <v>44</v>
      </c>
      <c r="AA11" s="16" t="s">
        <v>45</v>
      </c>
      <c r="AB11" s="16">
        <v>350</v>
      </c>
    </row>
    <row r="12" s="158" customFormat="1" ht="70" customHeight="1" spans="1:28">
      <c r="A12" s="16">
        <v>3</v>
      </c>
      <c r="B12" s="16" t="s">
        <v>51</v>
      </c>
      <c r="C12" s="16" t="s">
        <v>52</v>
      </c>
      <c r="D12" s="16" t="s">
        <v>33</v>
      </c>
      <c r="E12" s="16" t="s">
        <v>37</v>
      </c>
      <c r="F12" s="16" t="s">
        <v>38</v>
      </c>
      <c r="G12" s="16" t="s">
        <v>53</v>
      </c>
      <c r="H12" s="178" t="s">
        <v>54</v>
      </c>
      <c r="I12" s="16" t="s">
        <v>41</v>
      </c>
      <c r="J12" s="16">
        <v>2260</v>
      </c>
      <c r="K12" s="16">
        <v>398</v>
      </c>
      <c r="L12" s="20">
        <f t="shared" si="3"/>
        <v>20</v>
      </c>
      <c r="M12" s="20">
        <f t="shared" si="4"/>
        <v>20</v>
      </c>
      <c r="N12" s="20">
        <v>20</v>
      </c>
      <c r="O12" s="20"/>
      <c r="P12" s="20"/>
      <c r="Q12" s="20"/>
      <c r="R12" s="16"/>
      <c r="S12" s="16"/>
      <c r="T12" s="16"/>
      <c r="U12" s="16"/>
      <c r="V12" s="16"/>
      <c r="W12" s="16"/>
      <c r="X12" s="16" t="s">
        <v>53</v>
      </c>
      <c r="Y12" s="16" t="s">
        <v>55</v>
      </c>
      <c r="Z12" s="16" t="s">
        <v>44</v>
      </c>
      <c r="AA12" s="16" t="s">
        <v>45</v>
      </c>
      <c r="AB12" s="16">
        <v>350</v>
      </c>
    </row>
    <row r="13" s="158" customFormat="1" ht="70" customHeight="1" spans="1:28">
      <c r="A13" s="16">
        <v>4</v>
      </c>
      <c r="B13" s="16" t="s">
        <v>56</v>
      </c>
      <c r="C13" s="16" t="s">
        <v>57</v>
      </c>
      <c r="D13" s="16" t="s">
        <v>33</v>
      </c>
      <c r="E13" s="16" t="s">
        <v>37</v>
      </c>
      <c r="F13" s="16" t="s">
        <v>38</v>
      </c>
      <c r="G13" s="16" t="s">
        <v>58</v>
      </c>
      <c r="H13" s="178" t="s">
        <v>59</v>
      </c>
      <c r="I13" s="16" t="s">
        <v>41</v>
      </c>
      <c r="J13" s="16">
        <v>2200</v>
      </c>
      <c r="K13" s="16">
        <v>396</v>
      </c>
      <c r="L13" s="20">
        <f t="shared" si="3"/>
        <v>30</v>
      </c>
      <c r="M13" s="20">
        <f t="shared" si="4"/>
        <v>30</v>
      </c>
      <c r="N13" s="20">
        <v>30</v>
      </c>
      <c r="O13" s="20"/>
      <c r="P13" s="20"/>
      <c r="Q13" s="20"/>
      <c r="R13" s="16"/>
      <c r="S13" s="16"/>
      <c r="T13" s="16"/>
      <c r="U13" s="16"/>
      <c r="V13" s="16"/>
      <c r="W13" s="16"/>
      <c r="X13" s="16" t="s">
        <v>58</v>
      </c>
      <c r="Y13" s="16" t="s">
        <v>60</v>
      </c>
      <c r="Z13" s="16" t="s">
        <v>44</v>
      </c>
      <c r="AA13" s="16" t="s">
        <v>45</v>
      </c>
      <c r="AB13" s="16">
        <v>350</v>
      </c>
    </row>
    <row r="14" s="158" customFormat="1" ht="70" customHeight="1" spans="1:28">
      <c r="A14" s="16">
        <v>5</v>
      </c>
      <c r="B14" s="16" t="s">
        <v>61</v>
      </c>
      <c r="C14" s="16" t="s">
        <v>62</v>
      </c>
      <c r="D14" s="16" t="s">
        <v>33</v>
      </c>
      <c r="E14" s="16" t="s">
        <v>37</v>
      </c>
      <c r="F14" s="16" t="s">
        <v>38</v>
      </c>
      <c r="G14" s="16" t="s">
        <v>63</v>
      </c>
      <c r="H14" s="178" t="s">
        <v>64</v>
      </c>
      <c r="I14" s="16" t="s">
        <v>41</v>
      </c>
      <c r="J14" s="16">
        <v>2200</v>
      </c>
      <c r="K14" s="16">
        <v>396</v>
      </c>
      <c r="L14" s="20">
        <f t="shared" si="3"/>
        <v>20</v>
      </c>
      <c r="M14" s="20">
        <f t="shared" si="4"/>
        <v>20</v>
      </c>
      <c r="N14" s="20">
        <v>20</v>
      </c>
      <c r="O14" s="20"/>
      <c r="P14" s="20"/>
      <c r="Q14" s="20"/>
      <c r="R14" s="16"/>
      <c r="S14" s="16"/>
      <c r="T14" s="16"/>
      <c r="U14" s="16"/>
      <c r="V14" s="16"/>
      <c r="W14" s="16"/>
      <c r="X14" s="16" t="s">
        <v>63</v>
      </c>
      <c r="Y14" s="16" t="s">
        <v>65</v>
      </c>
      <c r="Z14" s="16" t="s">
        <v>44</v>
      </c>
      <c r="AA14" s="16" t="s">
        <v>45</v>
      </c>
      <c r="AB14" s="16">
        <v>350</v>
      </c>
    </row>
    <row r="15" s="158" customFormat="1" ht="70" customHeight="1" spans="1:28">
      <c r="A15" s="16">
        <v>6</v>
      </c>
      <c r="B15" s="16" t="s">
        <v>66</v>
      </c>
      <c r="C15" s="16" t="s">
        <v>67</v>
      </c>
      <c r="D15" s="16" t="s">
        <v>33</v>
      </c>
      <c r="E15" s="16" t="s">
        <v>37</v>
      </c>
      <c r="F15" s="16" t="s">
        <v>38</v>
      </c>
      <c r="G15" s="16" t="s">
        <v>68</v>
      </c>
      <c r="H15" s="178" t="s">
        <v>64</v>
      </c>
      <c r="I15" s="16" t="s">
        <v>41</v>
      </c>
      <c r="J15" s="16">
        <v>2200</v>
      </c>
      <c r="K15" s="16">
        <v>396</v>
      </c>
      <c r="L15" s="20">
        <f t="shared" si="3"/>
        <v>20</v>
      </c>
      <c r="M15" s="20">
        <f t="shared" si="4"/>
        <v>20</v>
      </c>
      <c r="N15" s="20">
        <v>20</v>
      </c>
      <c r="O15" s="20"/>
      <c r="P15" s="20"/>
      <c r="Q15" s="20"/>
      <c r="R15" s="16"/>
      <c r="S15" s="16"/>
      <c r="T15" s="16"/>
      <c r="U15" s="16"/>
      <c r="V15" s="16"/>
      <c r="W15" s="16"/>
      <c r="X15" s="16" t="s">
        <v>69</v>
      </c>
      <c r="Y15" s="16" t="s">
        <v>70</v>
      </c>
      <c r="Z15" s="16" t="s">
        <v>44</v>
      </c>
      <c r="AA15" s="16" t="s">
        <v>45</v>
      </c>
      <c r="AB15" s="16">
        <v>350</v>
      </c>
    </row>
    <row r="16" s="158" customFormat="1" ht="70" customHeight="1" spans="1:28">
      <c r="A16" s="16">
        <v>7</v>
      </c>
      <c r="B16" s="16" t="s">
        <v>71</v>
      </c>
      <c r="C16" s="16" t="s">
        <v>72</v>
      </c>
      <c r="D16" s="16" t="s">
        <v>33</v>
      </c>
      <c r="E16" s="16" t="s">
        <v>37</v>
      </c>
      <c r="F16" s="16" t="s">
        <v>38</v>
      </c>
      <c r="G16" s="16" t="s">
        <v>73</v>
      </c>
      <c r="H16" s="178" t="s">
        <v>64</v>
      </c>
      <c r="I16" s="16" t="s">
        <v>41</v>
      </c>
      <c r="J16" s="16">
        <v>2200</v>
      </c>
      <c r="K16" s="16">
        <v>396</v>
      </c>
      <c r="L16" s="20">
        <f t="shared" si="3"/>
        <v>20</v>
      </c>
      <c r="M16" s="20">
        <f t="shared" si="4"/>
        <v>20</v>
      </c>
      <c r="N16" s="20">
        <v>20</v>
      </c>
      <c r="O16" s="20"/>
      <c r="P16" s="20"/>
      <c r="Q16" s="20"/>
      <c r="R16" s="16"/>
      <c r="S16" s="16"/>
      <c r="T16" s="16"/>
      <c r="U16" s="16"/>
      <c r="V16" s="16"/>
      <c r="W16" s="16"/>
      <c r="X16" s="16" t="s">
        <v>73</v>
      </c>
      <c r="Y16" s="16" t="s">
        <v>74</v>
      </c>
      <c r="Z16" s="16" t="s">
        <v>44</v>
      </c>
      <c r="AA16" s="16" t="s">
        <v>45</v>
      </c>
      <c r="AB16" s="16">
        <v>350</v>
      </c>
    </row>
    <row r="17" s="158" customFormat="1" ht="70" customHeight="1" spans="1:28">
      <c r="A17" s="16">
        <v>8</v>
      </c>
      <c r="B17" s="16" t="s">
        <v>75</v>
      </c>
      <c r="C17" s="16" t="s">
        <v>76</v>
      </c>
      <c r="D17" s="16" t="s">
        <v>33</v>
      </c>
      <c r="E17" s="16" t="s">
        <v>37</v>
      </c>
      <c r="F17" s="16" t="s">
        <v>38</v>
      </c>
      <c r="G17" s="16" t="s">
        <v>77</v>
      </c>
      <c r="H17" s="178" t="s">
        <v>78</v>
      </c>
      <c r="I17" s="16" t="s">
        <v>41</v>
      </c>
      <c r="J17" s="16">
        <v>2200</v>
      </c>
      <c r="K17" s="16">
        <v>396</v>
      </c>
      <c r="L17" s="20">
        <f t="shared" si="3"/>
        <v>22</v>
      </c>
      <c r="M17" s="20">
        <f t="shared" si="4"/>
        <v>22</v>
      </c>
      <c r="N17" s="20">
        <v>22</v>
      </c>
      <c r="O17" s="20"/>
      <c r="P17" s="20"/>
      <c r="Q17" s="20"/>
      <c r="R17" s="16"/>
      <c r="S17" s="16"/>
      <c r="T17" s="16"/>
      <c r="U17" s="16"/>
      <c r="V17" s="16"/>
      <c r="W17" s="16"/>
      <c r="X17" s="16" t="s">
        <v>77</v>
      </c>
      <c r="Y17" s="16" t="s">
        <v>79</v>
      </c>
      <c r="Z17" s="16" t="s">
        <v>44</v>
      </c>
      <c r="AA17" s="16" t="s">
        <v>45</v>
      </c>
      <c r="AB17" s="16">
        <v>348</v>
      </c>
    </row>
    <row r="18" s="158" customFormat="1" ht="70" customHeight="1" spans="1:28">
      <c r="A18" s="16">
        <v>9</v>
      </c>
      <c r="B18" s="16" t="s">
        <v>80</v>
      </c>
      <c r="C18" s="16" t="s">
        <v>81</v>
      </c>
      <c r="D18" s="16" t="s">
        <v>33</v>
      </c>
      <c r="E18" s="16" t="s">
        <v>37</v>
      </c>
      <c r="F18" s="16" t="s">
        <v>38</v>
      </c>
      <c r="G18" s="16" t="s">
        <v>82</v>
      </c>
      <c r="H18" s="178" t="s">
        <v>83</v>
      </c>
      <c r="I18" s="16" t="s">
        <v>41</v>
      </c>
      <c r="J18" s="16">
        <v>2367</v>
      </c>
      <c r="K18" s="16">
        <v>395</v>
      </c>
      <c r="L18" s="20">
        <f t="shared" si="3"/>
        <v>20</v>
      </c>
      <c r="M18" s="20">
        <f t="shared" si="4"/>
        <v>20</v>
      </c>
      <c r="N18" s="20">
        <v>20</v>
      </c>
      <c r="O18" s="20"/>
      <c r="P18" s="20"/>
      <c r="Q18" s="20"/>
      <c r="R18" s="16"/>
      <c r="S18" s="16"/>
      <c r="T18" s="16"/>
      <c r="U18" s="16"/>
      <c r="V18" s="16"/>
      <c r="W18" s="16"/>
      <c r="X18" s="16" t="s">
        <v>84</v>
      </c>
      <c r="Y18" s="16" t="s">
        <v>85</v>
      </c>
      <c r="Z18" s="16" t="s">
        <v>44</v>
      </c>
      <c r="AA18" s="16" t="s">
        <v>45</v>
      </c>
      <c r="AB18" s="16">
        <v>350</v>
      </c>
    </row>
    <row r="19" s="158" customFormat="1" ht="70" customHeight="1" spans="1:28">
      <c r="A19" s="16">
        <v>10</v>
      </c>
      <c r="B19" s="16" t="s">
        <v>86</v>
      </c>
      <c r="C19" s="16" t="s">
        <v>87</v>
      </c>
      <c r="D19" s="16" t="s">
        <v>33</v>
      </c>
      <c r="E19" s="16" t="s">
        <v>37</v>
      </c>
      <c r="F19" s="16" t="s">
        <v>38</v>
      </c>
      <c r="G19" s="16" t="s">
        <v>88</v>
      </c>
      <c r="H19" s="178" t="s">
        <v>64</v>
      </c>
      <c r="I19" s="16" t="s">
        <v>41</v>
      </c>
      <c r="J19" s="16">
        <v>2200</v>
      </c>
      <c r="K19" s="16">
        <v>396</v>
      </c>
      <c r="L19" s="20">
        <f t="shared" si="3"/>
        <v>20</v>
      </c>
      <c r="M19" s="20">
        <f t="shared" si="4"/>
        <v>20</v>
      </c>
      <c r="N19" s="20">
        <v>20</v>
      </c>
      <c r="O19" s="20"/>
      <c r="P19" s="20"/>
      <c r="Q19" s="20"/>
      <c r="R19" s="16"/>
      <c r="S19" s="16"/>
      <c r="T19" s="16"/>
      <c r="U19" s="16"/>
      <c r="V19" s="16"/>
      <c r="W19" s="16"/>
      <c r="X19" s="16" t="s">
        <v>88</v>
      </c>
      <c r="Y19" s="16" t="s">
        <v>89</v>
      </c>
      <c r="Z19" s="16" t="s">
        <v>44</v>
      </c>
      <c r="AA19" s="16" t="s">
        <v>45</v>
      </c>
      <c r="AB19" s="16">
        <v>350</v>
      </c>
    </row>
    <row r="20" s="158" customFormat="1" ht="70" customHeight="1" spans="1:28">
      <c r="A20" s="16">
        <v>11</v>
      </c>
      <c r="B20" s="16" t="s">
        <v>86</v>
      </c>
      <c r="C20" s="16" t="s">
        <v>90</v>
      </c>
      <c r="D20" s="16" t="s">
        <v>33</v>
      </c>
      <c r="E20" s="16" t="s">
        <v>37</v>
      </c>
      <c r="F20" s="16" t="s">
        <v>38</v>
      </c>
      <c r="G20" s="16" t="s">
        <v>88</v>
      </c>
      <c r="H20" s="172" t="s">
        <v>91</v>
      </c>
      <c r="I20" s="16" t="s">
        <v>41</v>
      </c>
      <c r="J20" s="16">
        <v>2200</v>
      </c>
      <c r="K20" s="16">
        <v>396</v>
      </c>
      <c r="L20" s="20">
        <f t="shared" si="3"/>
        <v>370</v>
      </c>
      <c r="M20" s="20">
        <f t="shared" si="4"/>
        <v>370</v>
      </c>
      <c r="N20" s="20">
        <v>370</v>
      </c>
      <c r="O20" s="20"/>
      <c r="P20" s="20"/>
      <c r="Q20" s="20"/>
      <c r="R20" s="16"/>
      <c r="S20" s="16"/>
      <c r="T20" s="16"/>
      <c r="U20" s="16"/>
      <c r="V20" s="16"/>
      <c r="W20" s="16"/>
      <c r="X20" s="16" t="s">
        <v>88</v>
      </c>
      <c r="Y20" s="16" t="s">
        <v>89</v>
      </c>
      <c r="Z20" s="16" t="s">
        <v>44</v>
      </c>
      <c r="AA20" s="16" t="s">
        <v>45</v>
      </c>
      <c r="AB20" s="16"/>
    </row>
    <row r="21" s="158" customFormat="1" ht="70" customHeight="1" spans="1:28">
      <c r="A21" s="16">
        <v>12</v>
      </c>
      <c r="B21" s="16" t="s">
        <v>92</v>
      </c>
      <c r="C21" s="16" t="s">
        <v>93</v>
      </c>
      <c r="D21" s="16" t="s">
        <v>33</v>
      </c>
      <c r="E21" s="16" t="s">
        <v>37</v>
      </c>
      <c r="F21" s="16" t="s">
        <v>38</v>
      </c>
      <c r="G21" s="16" t="s">
        <v>94</v>
      </c>
      <c r="H21" s="178" t="s">
        <v>95</v>
      </c>
      <c r="I21" s="16" t="s">
        <v>41</v>
      </c>
      <c r="J21" s="16">
        <v>2200</v>
      </c>
      <c r="K21" s="16">
        <v>396</v>
      </c>
      <c r="L21" s="20">
        <f t="shared" si="3"/>
        <v>20</v>
      </c>
      <c r="M21" s="20">
        <f t="shared" si="4"/>
        <v>20</v>
      </c>
      <c r="N21" s="20">
        <v>20</v>
      </c>
      <c r="O21" s="20"/>
      <c r="P21" s="20"/>
      <c r="Q21" s="20"/>
      <c r="R21" s="16"/>
      <c r="S21" s="16"/>
      <c r="T21" s="16"/>
      <c r="U21" s="16"/>
      <c r="V21" s="16"/>
      <c r="W21" s="16"/>
      <c r="X21" s="16" t="s">
        <v>94</v>
      </c>
      <c r="Y21" s="16" t="s">
        <v>96</v>
      </c>
      <c r="Z21" s="16" t="s">
        <v>44</v>
      </c>
      <c r="AA21" s="16" t="s">
        <v>45</v>
      </c>
      <c r="AB21" s="16">
        <v>350</v>
      </c>
    </row>
    <row r="22" s="158" customFormat="1" ht="70" customHeight="1" spans="1:28">
      <c r="A22" s="16">
        <v>13</v>
      </c>
      <c r="B22" s="16" t="s">
        <v>46</v>
      </c>
      <c r="C22" s="16" t="s">
        <v>97</v>
      </c>
      <c r="D22" s="16" t="s">
        <v>33</v>
      </c>
      <c r="E22" s="16" t="s">
        <v>37</v>
      </c>
      <c r="F22" s="16" t="s">
        <v>38</v>
      </c>
      <c r="G22" s="16" t="s">
        <v>98</v>
      </c>
      <c r="H22" s="172" t="s">
        <v>99</v>
      </c>
      <c r="I22" s="16" t="s">
        <v>41</v>
      </c>
      <c r="J22" s="16">
        <v>2200</v>
      </c>
      <c r="K22" s="20">
        <v>390</v>
      </c>
      <c r="L22" s="20">
        <f t="shared" si="3"/>
        <v>390</v>
      </c>
      <c r="M22" s="20">
        <f t="shared" si="4"/>
        <v>390</v>
      </c>
      <c r="N22" s="20">
        <v>390</v>
      </c>
      <c r="O22" s="20"/>
      <c r="P22" s="20"/>
      <c r="Q22" s="20"/>
      <c r="R22" s="16"/>
      <c r="S22" s="16"/>
      <c r="T22" s="16"/>
      <c r="U22" s="16"/>
      <c r="V22" s="16"/>
      <c r="W22" s="16"/>
      <c r="X22" s="16" t="s">
        <v>48</v>
      </c>
      <c r="Y22" s="16" t="s">
        <v>50</v>
      </c>
      <c r="Z22" s="16" t="s">
        <v>44</v>
      </c>
      <c r="AA22" s="16" t="s">
        <v>45</v>
      </c>
      <c r="AB22" s="16"/>
    </row>
    <row r="23" s="158" customFormat="1" ht="70" customHeight="1" spans="1:28">
      <c r="A23" s="16">
        <v>14</v>
      </c>
      <c r="B23" s="16" t="s">
        <v>100</v>
      </c>
      <c r="C23" s="16" t="s">
        <v>101</v>
      </c>
      <c r="D23" s="16" t="s">
        <v>33</v>
      </c>
      <c r="E23" s="16" t="s">
        <v>37</v>
      </c>
      <c r="F23" s="16" t="s">
        <v>38</v>
      </c>
      <c r="G23" s="16" t="s">
        <v>102</v>
      </c>
      <c r="H23" s="172" t="s">
        <v>103</v>
      </c>
      <c r="I23" s="16" t="s">
        <v>41</v>
      </c>
      <c r="J23" s="16">
        <v>2200</v>
      </c>
      <c r="K23" s="20">
        <v>390</v>
      </c>
      <c r="L23" s="20">
        <f t="shared" si="3"/>
        <v>390</v>
      </c>
      <c r="M23" s="20">
        <f t="shared" si="4"/>
        <v>390</v>
      </c>
      <c r="N23" s="20">
        <v>390</v>
      </c>
      <c r="O23" s="20"/>
      <c r="P23" s="20"/>
      <c r="Q23" s="20"/>
      <c r="R23" s="16"/>
      <c r="S23" s="16"/>
      <c r="T23" s="16"/>
      <c r="U23" s="16"/>
      <c r="V23" s="16"/>
      <c r="W23" s="16"/>
      <c r="X23" s="16" t="s">
        <v>104</v>
      </c>
      <c r="Y23" s="16" t="s">
        <v>105</v>
      </c>
      <c r="Z23" s="16" t="s">
        <v>44</v>
      </c>
      <c r="AA23" s="16" t="s">
        <v>45</v>
      </c>
      <c r="AB23" s="16"/>
    </row>
    <row r="24" s="158" customFormat="1" ht="70" customHeight="1" spans="1:28">
      <c r="A24" s="16">
        <v>15</v>
      </c>
      <c r="B24" s="16" t="s">
        <v>51</v>
      </c>
      <c r="C24" s="16" t="s">
        <v>106</v>
      </c>
      <c r="D24" s="16" t="s">
        <v>33</v>
      </c>
      <c r="E24" s="16" t="s">
        <v>37</v>
      </c>
      <c r="F24" s="16" t="s">
        <v>38</v>
      </c>
      <c r="G24" s="16" t="s">
        <v>107</v>
      </c>
      <c r="H24" s="172" t="s">
        <v>108</v>
      </c>
      <c r="I24" s="16" t="s">
        <v>41</v>
      </c>
      <c r="J24" s="16">
        <v>1700</v>
      </c>
      <c r="K24" s="16">
        <v>306</v>
      </c>
      <c r="L24" s="20">
        <f t="shared" si="3"/>
        <v>306</v>
      </c>
      <c r="M24" s="20">
        <f t="shared" si="4"/>
        <v>306</v>
      </c>
      <c r="N24" s="20">
        <v>306</v>
      </c>
      <c r="O24" s="20"/>
      <c r="P24" s="20"/>
      <c r="Q24" s="20"/>
      <c r="R24" s="16"/>
      <c r="S24" s="16"/>
      <c r="T24" s="16"/>
      <c r="U24" s="16"/>
      <c r="V24" s="16"/>
      <c r="W24" s="16"/>
      <c r="X24" s="16" t="s">
        <v>53</v>
      </c>
      <c r="Y24" s="16" t="s">
        <v>55</v>
      </c>
      <c r="Z24" s="16" t="s">
        <v>44</v>
      </c>
      <c r="AA24" s="16" t="s">
        <v>45</v>
      </c>
      <c r="AB24" s="16"/>
    </row>
    <row r="25" s="158" customFormat="1" ht="70" customHeight="1" spans="1:28">
      <c r="A25" s="16">
        <v>16</v>
      </c>
      <c r="B25" s="16" t="s">
        <v>35</v>
      </c>
      <c r="C25" s="16" t="s">
        <v>109</v>
      </c>
      <c r="D25" s="16" t="s">
        <v>33</v>
      </c>
      <c r="E25" s="16" t="s">
        <v>37</v>
      </c>
      <c r="F25" s="16" t="s">
        <v>38</v>
      </c>
      <c r="G25" s="16" t="s">
        <v>42</v>
      </c>
      <c r="H25" s="178" t="s">
        <v>110</v>
      </c>
      <c r="I25" s="16" t="s">
        <v>41</v>
      </c>
      <c r="J25" s="16">
        <v>1500</v>
      </c>
      <c r="K25" s="16">
        <f>J25*0.18</f>
        <v>270</v>
      </c>
      <c r="L25" s="20">
        <f t="shared" si="3"/>
        <v>60</v>
      </c>
      <c r="M25" s="20">
        <f t="shared" si="4"/>
        <v>60</v>
      </c>
      <c r="N25" s="20"/>
      <c r="O25" s="20">
        <v>60</v>
      </c>
      <c r="P25" s="20"/>
      <c r="Q25" s="20"/>
      <c r="R25" s="16"/>
      <c r="S25" s="16"/>
      <c r="T25" s="16"/>
      <c r="U25" s="16"/>
      <c r="V25" s="16"/>
      <c r="W25" s="16"/>
      <c r="X25" s="16" t="s">
        <v>42</v>
      </c>
      <c r="Y25" s="16" t="s">
        <v>43</v>
      </c>
      <c r="Z25" s="16" t="s">
        <v>44</v>
      </c>
      <c r="AA25" s="16" t="s">
        <v>45</v>
      </c>
      <c r="AB25" s="16">
        <v>200</v>
      </c>
    </row>
    <row r="26" s="158" customFormat="1" ht="70" customHeight="1" spans="1:28">
      <c r="A26" s="16">
        <v>17</v>
      </c>
      <c r="B26" s="16" t="s">
        <v>71</v>
      </c>
      <c r="C26" s="16" t="s">
        <v>111</v>
      </c>
      <c r="D26" s="16" t="s">
        <v>33</v>
      </c>
      <c r="E26" s="16" t="s">
        <v>37</v>
      </c>
      <c r="F26" s="16" t="s">
        <v>38</v>
      </c>
      <c r="G26" s="16" t="s">
        <v>73</v>
      </c>
      <c r="H26" s="178" t="s">
        <v>112</v>
      </c>
      <c r="I26" s="16" t="s">
        <v>41</v>
      </c>
      <c r="J26" s="16">
        <v>2000</v>
      </c>
      <c r="K26" s="16">
        <f>J26*0.18</f>
        <v>360</v>
      </c>
      <c r="L26" s="20">
        <f t="shared" si="3"/>
        <v>30</v>
      </c>
      <c r="M26" s="20">
        <f t="shared" si="4"/>
        <v>30</v>
      </c>
      <c r="N26" s="20"/>
      <c r="O26" s="20">
        <v>30</v>
      </c>
      <c r="P26" s="20"/>
      <c r="Q26" s="20"/>
      <c r="R26" s="16"/>
      <c r="S26" s="16"/>
      <c r="T26" s="16"/>
      <c r="U26" s="16"/>
      <c r="V26" s="16"/>
      <c r="W26" s="16"/>
      <c r="X26" s="16" t="s">
        <v>73</v>
      </c>
      <c r="Y26" s="16" t="s">
        <v>74</v>
      </c>
      <c r="Z26" s="16" t="s">
        <v>44</v>
      </c>
      <c r="AA26" s="16" t="s">
        <v>45</v>
      </c>
      <c r="AB26" s="16">
        <v>317.4</v>
      </c>
    </row>
    <row r="27" s="158" customFormat="1" ht="70" customHeight="1" spans="1:28">
      <c r="A27" s="16">
        <v>18</v>
      </c>
      <c r="B27" s="16" t="s">
        <v>66</v>
      </c>
      <c r="C27" s="16" t="s">
        <v>113</v>
      </c>
      <c r="D27" s="16" t="s">
        <v>33</v>
      </c>
      <c r="E27" s="16" t="s">
        <v>37</v>
      </c>
      <c r="F27" s="16" t="s">
        <v>38</v>
      </c>
      <c r="G27" s="16" t="s">
        <v>69</v>
      </c>
      <c r="H27" s="178" t="s">
        <v>114</v>
      </c>
      <c r="I27" s="16" t="s">
        <v>41</v>
      </c>
      <c r="J27" s="16">
        <v>2100</v>
      </c>
      <c r="K27" s="16">
        <f>J27*0.18</f>
        <v>378</v>
      </c>
      <c r="L27" s="20">
        <f t="shared" si="3"/>
        <v>55</v>
      </c>
      <c r="M27" s="20">
        <f t="shared" si="4"/>
        <v>55</v>
      </c>
      <c r="N27" s="20"/>
      <c r="O27" s="20">
        <v>55</v>
      </c>
      <c r="P27" s="20"/>
      <c r="Q27" s="20"/>
      <c r="R27" s="16"/>
      <c r="S27" s="16"/>
      <c r="T27" s="16"/>
      <c r="U27" s="16"/>
      <c r="V27" s="16"/>
      <c r="W27" s="16"/>
      <c r="X27" s="16" t="s">
        <v>69</v>
      </c>
      <c r="Y27" s="16" t="s">
        <v>115</v>
      </c>
      <c r="Z27" s="16" t="s">
        <v>44</v>
      </c>
      <c r="AA27" s="16" t="s">
        <v>45</v>
      </c>
      <c r="AB27" s="16">
        <v>300</v>
      </c>
    </row>
    <row r="28" s="158" customFormat="1" ht="70" customHeight="1" spans="1:28">
      <c r="A28" s="16">
        <v>19</v>
      </c>
      <c r="B28" s="16" t="s">
        <v>80</v>
      </c>
      <c r="C28" s="16" t="s">
        <v>116</v>
      </c>
      <c r="D28" s="16" t="s">
        <v>33</v>
      </c>
      <c r="E28" s="16" t="s">
        <v>37</v>
      </c>
      <c r="F28" s="16" t="s">
        <v>38</v>
      </c>
      <c r="G28" s="16" t="s">
        <v>84</v>
      </c>
      <c r="H28" s="178" t="s">
        <v>117</v>
      </c>
      <c r="I28" s="16" t="s">
        <v>41</v>
      </c>
      <c r="J28" s="16">
        <v>2000</v>
      </c>
      <c r="K28" s="16">
        <f>J28*0.18</f>
        <v>360</v>
      </c>
      <c r="L28" s="20">
        <f t="shared" si="3"/>
        <v>70</v>
      </c>
      <c r="M28" s="20">
        <f t="shared" si="4"/>
        <v>70</v>
      </c>
      <c r="N28" s="20"/>
      <c r="O28" s="20">
        <v>70</v>
      </c>
      <c r="P28" s="20"/>
      <c r="Q28" s="20"/>
      <c r="R28" s="16"/>
      <c r="S28" s="16"/>
      <c r="T28" s="16"/>
      <c r="U28" s="16"/>
      <c r="V28" s="16"/>
      <c r="W28" s="16"/>
      <c r="X28" s="16" t="s">
        <v>84</v>
      </c>
      <c r="Y28" s="16" t="s">
        <v>85</v>
      </c>
      <c r="Z28" s="16" t="s">
        <v>44</v>
      </c>
      <c r="AA28" s="16" t="s">
        <v>45</v>
      </c>
      <c r="AB28" s="16">
        <v>270</v>
      </c>
    </row>
    <row r="29" s="158" customFormat="1" ht="70" customHeight="1" spans="1:28">
      <c r="A29" s="16">
        <v>20</v>
      </c>
      <c r="B29" s="16" t="s">
        <v>118</v>
      </c>
      <c r="C29" s="16" t="s">
        <v>119</v>
      </c>
      <c r="D29" s="16" t="s">
        <v>33</v>
      </c>
      <c r="E29" s="16" t="s">
        <v>37</v>
      </c>
      <c r="F29" s="16" t="s">
        <v>38</v>
      </c>
      <c r="G29" s="16" t="s">
        <v>94</v>
      </c>
      <c r="H29" s="172" t="s">
        <v>120</v>
      </c>
      <c r="I29" s="16" t="s">
        <v>41</v>
      </c>
      <c r="J29" s="16">
        <v>2750</v>
      </c>
      <c r="K29" s="16">
        <v>495</v>
      </c>
      <c r="L29" s="20">
        <f t="shared" si="3"/>
        <v>438.399719</v>
      </c>
      <c r="M29" s="20">
        <f t="shared" si="4"/>
        <v>438.399719</v>
      </c>
      <c r="N29" s="20"/>
      <c r="O29" s="20">
        <v>438.399719</v>
      </c>
      <c r="P29" s="20"/>
      <c r="Q29" s="20"/>
      <c r="R29" s="16"/>
      <c r="S29" s="16"/>
      <c r="T29" s="16"/>
      <c r="U29" s="16"/>
      <c r="V29" s="16"/>
      <c r="W29" s="16"/>
      <c r="X29" s="16" t="s">
        <v>94</v>
      </c>
      <c r="Y29" s="16" t="s">
        <v>96</v>
      </c>
      <c r="Z29" s="16" t="s">
        <v>44</v>
      </c>
      <c r="AA29" s="16" t="s">
        <v>45</v>
      </c>
      <c r="AB29" s="16"/>
    </row>
    <row r="30" s="158" customFormat="1" ht="70" customHeight="1" spans="1:28">
      <c r="A30" s="16">
        <v>21</v>
      </c>
      <c r="B30" s="16"/>
      <c r="C30" s="16" t="s">
        <v>121</v>
      </c>
      <c r="D30" s="16" t="s">
        <v>33</v>
      </c>
      <c r="E30" s="16" t="s">
        <v>37</v>
      </c>
      <c r="F30" s="16" t="s">
        <v>38</v>
      </c>
      <c r="G30" s="16" t="s">
        <v>122</v>
      </c>
      <c r="H30" s="172" t="s">
        <v>123</v>
      </c>
      <c r="I30" s="16" t="s">
        <v>41</v>
      </c>
      <c r="J30" s="16">
        <v>2000</v>
      </c>
      <c r="K30" s="20">
        <v>360</v>
      </c>
      <c r="L30" s="20">
        <f t="shared" si="3"/>
        <v>360</v>
      </c>
      <c r="M30" s="20">
        <f t="shared" si="4"/>
        <v>360</v>
      </c>
      <c r="N30" s="20"/>
      <c r="O30" s="20">
        <v>360</v>
      </c>
      <c r="P30" s="20"/>
      <c r="Q30" s="20"/>
      <c r="R30" s="16"/>
      <c r="S30" s="16"/>
      <c r="T30" s="16"/>
      <c r="U30" s="16"/>
      <c r="V30" s="16"/>
      <c r="W30" s="16"/>
      <c r="X30" s="16" t="s">
        <v>58</v>
      </c>
      <c r="Y30" s="16" t="s">
        <v>60</v>
      </c>
      <c r="Z30" s="16" t="s">
        <v>44</v>
      </c>
      <c r="AA30" s="16" t="s">
        <v>45</v>
      </c>
      <c r="AB30" s="16"/>
    </row>
    <row r="31" s="158" customFormat="1" ht="70" customHeight="1" spans="1:28">
      <c r="A31" s="16">
        <v>22</v>
      </c>
      <c r="B31" s="16"/>
      <c r="C31" s="16" t="s">
        <v>124</v>
      </c>
      <c r="D31" s="16" t="s">
        <v>33</v>
      </c>
      <c r="E31" s="16" t="s">
        <v>37</v>
      </c>
      <c r="F31" s="16" t="s">
        <v>38</v>
      </c>
      <c r="G31" s="16" t="s">
        <v>122</v>
      </c>
      <c r="H31" s="172" t="s">
        <v>125</v>
      </c>
      <c r="I31" s="16" t="s">
        <v>41</v>
      </c>
      <c r="J31" s="16">
        <v>2000</v>
      </c>
      <c r="K31" s="20">
        <v>300</v>
      </c>
      <c r="L31" s="20">
        <f t="shared" si="3"/>
        <v>300</v>
      </c>
      <c r="M31" s="20">
        <f t="shared" si="4"/>
        <v>300</v>
      </c>
      <c r="N31" s="20"/>
      <c r="O31" s="20">
        <v>300</v>
      </c>
      <c r="P31" s="20"/>
      <c r="Q31" s="20"/>
      <c r="R31" s="16"/>
      <c r="S31" s="16"/>
      <c r="T31" s="16"/>
      <c r="U31" s="16"/>
      <c r="V31" s="16"/>
      <c r="W31" s="16"/>
      <c r="X31" s="16" t="s">
        <v>58</v>
      </c>
      <c r="Y31" s="16" t="s">
        <v>60</v>
      </c>
      <c r="Z31" s="16" t="s">
        <v>44</v>
      </c>
      <c r="AA31" s="16" t="s">
        <v>45</v>
      </c>
      <c r="AB31" s="16"/>
    </row>
    <row r="32" s="158" customFormat="1" ht="70" customHeight="1" spans="1:28">
      <c r="A32" s="16">
        <v>23</v>
      </c>
      <c r="B32" s="16" t="s">
        <v>126</v>
      </c>
      <c r="C32" s="16" t="s">
        <v>127</v>
      </c>
      <c r="D32" s="16" t="s">
        <v>33</v>
      </c>
      <c r="E32" s="16" t="s">
        <v>37</v>
      </c>
      <c r="F32" s="16" t="s">
        <v>38</v>
      </c>
      <c r="G32" s="16" t="s">
        <v>128</v>
      </c>
      <c r="H32" s="172" t="s">
        <v>129</v>
      </c>
      <c r="I32" s="16" t="s">
        <v>41</v>
      </c>
      <c r="J32" s="16">
        <v>2000</v>
      </c>
      <c r="K32" s="20">
        <f>SUM(L32,T32,U32,V32)</f>
        <v>360</v>
      </c>
      <c r="L32" s="20">
        <f t="shared" si="3"/>
        <v>360</v>
      </c>
      <c r="M32" s="20">
        <f t="shared" si="4"/>
        <v>360</v>
      </c>
      <c r="N32" s="20"/>
      <c r="O32" s="20">
        <v>360</v>
      </c>
      <c r="P32" s="20"/>
      <c r="Q32" s="20"/>
      <c r="R32" s="16"/>
      <c r="S32" s="16"/>
      <c r="T32" s="16"/>
      <c r="U32" s="16"/>
      <c r="V32" s="16"/>
      <c r="W32" s="16"/>
      <c r="X32" s="16" t="s">
        <v>130</v>
      </c>
      <c r="Y32" s="16" t="s">
        <v>131</v>
      </c>
      <c r="Z32" s="16" t="s">
        <v>44</v>
      </c>
      <c r="AA32" s="16" t="s">
        <v>45</v>
      </c>
      <c r="AB32" s="16"/>
    </row>
    <row r="33" s="158" customFormat="1" ht="70" customHeight="1" spans="1:28">
      <c r="A33" s="16">
        <v>24</v>
      </c>
      <c r="B33" s="16" t="s">
        <v>132</v>
      </c>
      <c r="C33" s="16" t="s">
        <v>133</v>
      </c>
      <c r="D33" s="16" t="s">
        <v>33</v>
      </c>
      <c r="E33" s="16" t="s">
        <v>37</v>
      </c>
      <c r="F33" s="16" t="s">
        <v>38</v>
      </c>
      <c r="G33" s="16" t="s">
        <v>128</v>
      </c>
      <c r="H33" s="172" t="s">
        <v>134</v>
      </c>
      <c r="I33" s="16" t="s">
        <v>41</v>
      </c>
      <c r="J33" s="16">
        <v>2000</v>
      </c>
      <c r="K33" s="20">
        <v>300</v>
      </c>
      <c r="L33" s="20">
        <f t="shared" si="3"/>
        <v>300</v>
      </c>
      <c r="M33" s="20">
        <f t="shared" si="4"/>
        <v>300</v>
      </c>
      <c r="N33" s="20"/>
      <c r="O33" s="20">
        <v>300</v>
      </c>
      <c r="P33" s="20"/>
      <c r="Q33" s="20"/>
      <c r="R33" s="16"/>
      <c r="S33" s="16"/>
      <c r="T33" s="16"/>
      <c r="U33" s="16"/>
      <c r="V33" s="16"/>
      <c r="W33" s="16"/>
      <c r="X33" s="16" t="s">
        <v>130</v>
      </c>
      <c r="Y33" s="16" t="s">
        <v>131</v>
      </c>
      <c r="Z33" s="16" t="s">
        <v>44</v>
      </c>
      <c r="AA33" s="16" t="s">
        <v>45</v>
      </c>
      <c r="AB33" s="16"/>
    </row>
    <row r="34" s="157" customFormat="1" ht="43" customHeight="1" spans="1:28">
      <c r="A34" s="170" t="s">
        <v>135</v>
      </c>
      <c r="B34" s="170"/>
      <c r="C34" s="170"/>
      <c r="D34" s="167"/>
      <c r="E34" s="164"/>
      <c r="F34" s="164"/>
      <c r="G34" s="164"/>
      <c r="H34" s="164">
        <v>6</v>
      </c>
      <c r="I34" s="168"/>
      <c r="J34" s="168"/>
      <c r="K34" s="169">
        <f>SUM(K35:K51)</f>
        <v>13752.6</v>
      </c>
      <c r="L34" s="169">
        <f>SUM(L35:L51)</f>
        <v>10007</v>
      </c>
      <c r="M34" s="169">
        <f>SUM(M35:M51)</f>
        <v>10007</v>
      </c>
      <c r="N34" s="169">
        <f>SUM(N35:N51)</f>
        <v>6827</v>
      </c>
      <c r="O34" s="169">
        <f>SUM(O35:O51)</f>
        <v>3180</v>
      </c>
      <c r="P34" s="169">
        <f t="shared" ref="P34:W34" si="5">SUM(P35:P51)</f>
        <v>0</v>
      </c>
      <c r="Q34" s="169">
        <f t="shared" si="5"/>
        <v>0</v>
      </c>
      <c r="R34" s="169">
        <f t="shared" si="5"/>
        <v>0</v>
      </c>
      <c r="S34" s="169">
        <f t="shared" si="5"/>
        <v>0</v>
      </c>
      <c r="T34" s="169">
        <f t="shared" si="5"/>
        <v>0</v>
      </c>
      <c r="U34" s="169">
        <f t="shared" si="5"/>
        <v>0</v>
      </c>
      <c r="V34" s="169">
        <f t="shared" si="5"/>
        <v>0</v>
      </c>
      <c r="W34" s="169">
        <f t="shared" si="5"/>
        <v>0</v>
      </c>
      <c r="X34" s="170"/>
      <c r="Y34" s="173"/>
      <c r="Z34" s="171"/>
      <c r="AA34" s="171"/>
      <c r="AB34" s="171"/>
    </row>
    <row r="35" s="158" customFormat="1" ht="96" customHeight="1" spans="1:28">
      <c r="A35" s="16">
        <v>25</v>
      </c>
      <c r="B35" s="16" t="s">
        <v>136</v>
      </c>
      <c r="C35" s="16" t="s">
        <v>137</v>
      </c>
      <c r="D35" s="16" t="s">
        <v>33</v>
      </c>
      <c r="E35" s="16" t="s">
        <v>138</v>
      </c>
      <c r="F35" s="174" t="s">
        <v>38</v>
      </c>
      <c r="G35" s="15" t="s">
        <v>139</v>
      </c>
      <c r="H35" s="179" t="s">
        <v>140</v>
      </c>
      <c r="I35" s="15" t="s">
        <v>141</v>
      </c>
      <c r="J35" s="15">
        <v>1</v>
      </c>
      <c r="K35" s="175">
        <f>SUM(L35,T35:V35)</f>
        <v>395</v>
      </c>
      <c r="L35" s="20">
        <f t="shared" ref="L35:L43" si="6">SUM(M35,U35,V35,W35)</f>
        <v>395</v>
      </c>
      <c r="M35" s="175">
        <f t="shared" ref="M35:M43" si="7">SUM(N35:T35)</f>
        <v>395</v>
      </c>
      <c r="N35" s="175"/>
      <c r="O35" s="175">
        <v>395</v>
      </c>
      <c r="P35" s="175"/>
      <c r="Q35" s="15"/>
      <c r="R35" s="15"/>
      <c r="S35" s="15"/>
      <c r="T35" s="15"/>
      <c r="U35" s="174"/>
      <c r="V35" s="174"/>
      <c r="W35" s="15"/>
      <c r="X35" s="15" t="s">
        <v>142</v>
      </c>
      <c r="Y35" s="16" t="s">
        <v>143</v>
      </c>
      <c r="Z35" s="16" t="s">
        <v>144</v>
      </c>
      <c r="AA35" s="16" t="s">
        <v>145</v>
      </c>
      <c r="AB35" s="16"/>
    </row>
    <row r="36" s="158" customFormat="1" ht="70" customHeight="1" spans="1:28">
      <c r="A36" s="16">
        <v>26</v>
      </c>
      <c r="B36" s="16" t="s">
        <v>146</v>
      </c>
      <c r="C36" s="16" t="s">
        <v>147</v>
      </c>
      <c r="D36" s="16" t="s">
        <v>33</v>
      </c>
      <c r="E36" s="16" t="s">
        <v>37</v>
      </c>
      <c r="F36" s="16" t="s">
        <v>38</v>
      </c>
      <c r="G36" s="16" t="s">
        <v>148</v>
      </c>
      <c r="H36" s="172" t="s">
        <v>149</v>
      </c>
      <c r="I36" s="16" t="s">
        <v>150</v>
      </c>
      <c r="J36" s="16">
        <v>4.9</v>
      </c>
      <c r="K36" s="16">
        <v>2980</v>
      </c>
      <c r="L36" s="20">
        <f t="shared" si="6"/>
        <v>150</v>
      </c>
      <c r="M36" s="175">
        <f t="shared" si="7"/>
        <v>150</v>
      </c>
      <c r="N36" s="20">
        <v>150</v>
      </c>
      <c r="O36" s="20"/>
      <c r="P36" s="20"/>
      <c r="Q36" s="20"/>
      <c r="R36" s="16"/>
      <c r="S36" s="16"/>
      <c r="T36" s="16"/>
      <c r="U36" s="16"/>
      <c r="V36" s="16"/>
      <c r="W36" s="16"/>
      <c r="X36" s="16" t="s">
        <v>151</v>
      </c>
      <c r="Y36" s="16" t="s">
        <v>152</v>
      </c>
      <c r="Z36" s="16"/>
      <c r="AA36" s="16"/>
      <c r="AB36" s="20">
        <v>2680.721435</v>
      </c>
    </row>
    <row r="37" s="158" customFormat="1" ht="121" customHeight="1" spans="1:28">
      <c r="A37" s="16">
        <v>27</v>
      </c>
      <c r="B37" s="16"/>
      <c r="C37" s="16" t="s">
        <v>153</v>
      </c>
      <c r="D37" s="16" t="s">
        <v>33</v>
      </c>
      <c r="E37" s="16" t="s">
        <v>138</v>
      </c>
      <c r="F37" s="174" t="s">
        <v>38</v>
      </c>
      <c r="G37" s="15" t="s">
        <v>154</v>
      </c>
      <c r="H37" s="19" t="s">
        <v>155</v>
      </c>
      <c r="I37" s="15" t="s">
        <v>156</v>
      </c>
      <c r="J37" s="15">
        <v>5</v>
      </c>
      <c r="K37" s="175">
        <v>2500</v>
      </c>
      <c r="L37" s="20">
        <f t="shared" si="6"/>
        <v>1900</v>
      </c>
      <c r="M37" s="175">
        <f t="shared" si="7"/>
        <v>1900</v>
      </c>
      <c r="N37" s="175"/>
      <c r="O37" s="175">
        <v>1900</v>
      </c>
      <c r="P37" s="175"/>
      <c r="Q37" s="15"/>
      <c r="R37" s="15"/>
      <c r="S37" s="15"/>
      <c r="T37" s="15"/>
      <c r="U37" s="174"/>
      <c r="V37" s="174"/>
      <c r="W37" s="15"/>
      <c r="X37" s="15" t="s">
        <v>63</v>
      </c>
      <c r="Y37" s="16" t="s">
        <v>65</v>
      </c>
      <c r="Z37" s="16" t="s">
        <v>144</v>
      </c>
      <c r="AA37" s="16" t="s">
        <v>145</v>
      </c>
      <c r="AB37" s="16">
        <v>500</v>
      </c>
    </row>
    <row r="38" s="158" customFormat="1" ht="109" customHeight="1" spans="1:28">
      <c r="A38" s="16">
        <v>28</v>
      </c>
      <c r="B38" s="16" t="s">
        <v>157</v>
      </c>
      <c r="C38" s="16" t="s">
        <v>158</v>
      </c>
      <c r="D38" s="16" t="s">
        <v>33</v>
      </c>
      <c r="E38" s="16" t="s">
        <v>37</v>
      </c>
      <c r="F38" s="16" t="s">
        <v>38</v>
      </c>
      <c r="G38" s="16" t="s">
        <v>58</v>
      </c>
      <c r="H38" s="172" t="s">
        <v>159</v>
      </c>
      <c r="I38" s="16" t="s">
        <v>160</v>
      </c>
      <c r="J38" s="16">
        <v>6.5</v>
      </c>
      <c r="K38" s="16">
        <v>1500</v>
      </c>
      <c r="L38" s="20">
        <f t="shared" si="6"/>
        <v>1500</v>
      </c>
      <c r="M38" s="175">
        <f t="shared" si="7"/>
        <v>1500</v>
      </c>
      <c r="N38" s="20">
        <v>1500</v>
      </c>
      <c r="O38" s="20"/>
      <c r="P38" s="20"/>
      <c r="Q38" s="20"/>
      <c r="R38" s="16"/>
      <c r="S38" s="16"/>
      <c r="T38" s="16"/>
      <c r="U38" s="16"/>
      <c r="V38" s="16"/>
      <c r="W38" s="16"/>
      <c r="X38" s="16" t="s">
        <v>161</v>
      </c>
      <c r="Y38" s="16" t="s">
        <v>162</v>
      </c>
      <c r="Z38" s="16" t="s">
        <v>161</v>
      </c>
      <c r="AA38" s="16" t="s">
        <v>162</v>
      </c>
      <c r="AB38" s="16"/>
    </row>
    <row r="39" s="158" customFormat="1" ht="96" customHeight="1" spans="1:28">
      <c r="A39" s="16">
        <v>29</v>
      </c>
      <c r="B39" s="16"/>
      <c r="C39" s="16" t="s">
        <v>163</v>
      </c>
      <c r="D39" s="16" t="s">
        <v>33</v>
      </c>
      <c r="E39" s="16" t="s">
        <v>37</v>
      </c>
      <c r="F39" s="16" t="s">
        <v>38</v>
      </c>
      <c r="G39" s="15" t="s">
        <v>122</v>
      </c>
      <c r="H39" s="179" t="s">
        <v>164</v>
      </c>
      <c r="I39" s="15" t="s">
        <v>165</v>
      </c>
      <c r="J39" s="15">
        <v>75</v>
      </c>
      <c r="K39" s="175">
        <v>1875</v>
      </c>
      <c r="L39" s="20">
        <f t="shared" si="6"/>
        <v>1875</v>
      </c>
      <c r="M39" s="175">
        <f t="shared" si="7"/>
        <v>1875</v>
      </c>
      <c r="N39" s="175">
        <v>1875</v>
      </c>
      <c r="O39" s="175"/>
      <c r="P39" s="175"/>
      <c r="Q39" s="15"/>
      <c r="R39" s="15"/>
      <c r="S39" s="15"/>
      <c r="T39" s="15"/>
      <c r="U39" s="174"/>
      <c r="V39" s="174"/>
      <c r="W39" s="15"/>
      <c r="X39" s="16" t="s">
        <v>58</v>
      </c>
      <c r="Y39" s="16" t="s">
        <v>60</v>
      </c>
      <c r="Z39" s="16" t="s">
        <v>166</v>
      </c>
      <c r="AA39" s="16" t="s">
        <v>167</v>
      </c>
      <c r="AB39" s="16"/>
    </row>
    <row r="40" s="158" customFormat="1" ht="96" customHeight="1" spans="1:28">
      <c r="A40" s="16">
        <v>30</v>
      </c>
      <c r="B40" s="16" t="s">
        <v>168</v>
      </c>
      <c r="C40" s="16" t="s">
        <v>169</v>
      </c>
      <c r="D40" s="16" t="s">
        <v>33</v>
      </c>
      <c r="E40" s="16" t="s">
        <v>170</v>
      </c>
      <c r="F40" s="16" t="s">
        <v>38</v>
      </c>
      <c r="G40" s="15" t="s">
        <v>171</v>
      </c>
      <c r="H40" s="19" t="s">
        <v>172</v>
      </c>
      <c r="I40" s="15" t="s">
        <v>41</v>
      </c>
      <c r="J40" s="15">
        <v>170</v>
      </c>
      <c r="K40" s="175">
        <v>850</v>
      </c>
      <c r="L40" s="20">
        <f t="shared" si="6"/>
        <v>850</v>
      </c>
      <c r="M40" s="175">
        <f t="shared" si="7"/>
        <v>850</v>
      </c>
      <c r="N40" s="175">
        <v>850</v>
      </c>
      <c r="O40" s="175"/>
      <c r="P40" s="175"/>
      <c r="Q40" s="15"/>
      <c r="R40" s="15"/>
      <c r="S40" s="15"/>
      <c r="T40" s="15"/>
      <c r="U40" s="174"/>
      <c r="V40" s="174"/>
      <c r="W40" s="15"/>
      <c r="X40" s="16" t="s">
        <v>173</v>
      </c>
      <c r="Y40" s="16" t="s">
        <v>174</v>
      </c>
      <c r="Z40" s="16" t="s">
        <v>161</v>
      </c>
      <c r="AA40" s="16" t="s">
        <v>162</v>
      </c>
      <c r="AB40" s="16"/>
    </row>
    <row r="41" s="158" customFormat="1" ht="96" customHeight="1" spans="1:28">
      <c r="A41" s="16">
        <v>31</v>
      </c>
      <c r="B41" s="16"/>
      <c r="C41" s="16" t="s">
        <v>175</v>
      </c>
      <c r="D41" s="16" t="s">
        <v>33</v>
      </c>
      <c r="E41" s="16" t="s">
        <v>37</v>
      </c>
      <c r="F41" s="16" t="s">
        <v>38</v>
      </c>
      <c r="G41" s="15" t="s">
        <v>176</v>
      </c>
      <c r="H41" s="179" t="s">
        <v>177</v>
      </c>
      <c r="I41" s="15" t="s">
        <v>150</v>
      </c>
      <c r="J41" s="15">
        <v>10000</v>
      </c>
      <c r="K41" s="175">
        <v>300</v>
      </c>
      <c r="L41" s="20">
        <f t="shared" si="6"/>
        <v>300</v>
      </c>
      <c r="M41" s="175">
        <f t="shared" si="7"/>
        <v>300</v>
      </c>
      <c r="N41" s="175">
        <v>300</v>
      </c>
      <c r="O41" s="175"/>
      <c r="P41" s="175"/>
      <c r="Q41" s="15"/>
      <c r="R41" s="15"/>
      <c r="S41" s="15"/>
      <c r="T41" s="15"/>
      <c r="U41" s="174"/>
      <c r="V41" s="174"/>
      <c r="W41" s="15"/>
      <c r="X41" s="16" t="s">
        <v>104</v>
      </c>
      <c r="Y41" s="16" t="s">
        <v>105</v>
      </c>
      <c r="Z41" s="16" t="s">
        <v>161</v>
      </c>
      <c r="AA41" s="16" t="s">
        <v>162</v>
      </c>
      <c r="AB41" s="16"/>
    </row>
    <row r="42" s="158" customFormat="1" ht="96" customHeight="1" spans="1:28">
      <c r="A42" s="16">
        <v>32</v>
      </c>
      <c r="B42" s="16"/>
      <c r="C42" s="16" t="s">
        <v>178</v>
      </c>
      <c r="D42" s="16" t="s">
        <v>33</v>
      </c>
      <c r="E42" s="16" t="s">
        <v>179</v>
      </c>
      <c r="F42" s="16" t="s">
        <v>38</v>
      </c>
      <c r="G42" s="15" t="s">
        <v>180</v>
      </c>
      <c r="H42" s="179" t="s">
        <v>181</v>
      </c>
      <c r="I42" s="15" t="s">
        <v>165</v>
      </c>
      <c r="J42" s="15">
        <v>1</v>
      </c>
      <c r="K42" s="175">
        <v>120</v>
      </c>
      <c r="L42" s="20">
        <f t="shared" si="6"/>
        <v>120</v>
      </c>
      <c r="M42" s="175">
        <f t="shared" si="7"/>
        <v>120</v>
      </c>
      <c r="N42" s="175">
        <v>120</v>
      </c>
      <c r="O42" s="175"/>
      <c r="P42" s="175"/>
      <c r="Q42" s="15"/>
      <c r="R42" s="15"/>
      <c r="S42" s="15"/>
      <c r="T42" s="15"/>
      <c r="U42" s="174"/>
      <c r="V42" s="174"/>
      <c r="W42" s="15"/>
      <c r="X42" s="16" t="s">
        <v>73</v>
      </c>
      <c r="Y42" s="16" t="s">
        <v>74</v>
      </c>
      <c r="Z42" s="16" t="s">
        <v>161</v>
      </c>
      <c r="AA42" s="16" t="s">
        <v>162</v>
      </c>
      <c r="AB42" s="16"/>
    </row>
    <row r="43" s="158" customFormat="1" ht="125" customHeight="1" spans="1:28">
      <c r="A43" s="16"/>
      <c r="B43" s="16"/>
      <c r="C43" s="16" t="s">
        <v>182</v>
      </c>
      <c r="D43" s="16"/>
      <c r="E43" s="16"/>
      <c r="F43" s="16"/>
      <c r="G43" s="15"/>
      <c r="H43" s="19" t="s">
        <v>183</v>
      </c>
      <c r="I43" s="15" t="s">
        <v>41</v>
      </c>
      <c r="J43" s="15">
        <v>110</v>
      </c>
      <c r="K43" s="175">
        <v>380</v>
      </c>
      <c r="L43" s="20">
        <f t="shared" si="6"/>
        <v>380</v>
      </c>
      <c r="M43" s="175">
        <f t="shared" si="7"/>
        <v>380</v>
      </c>
      <c r="N43" s="175">
        <v>380</v>
      </c>
      <c r="O43" s="175"/>
      <c r="P43" s="175"/>
      <c r="Q43" s="15"/>
      <c r="R43" s="15"/>
      <c r="S43" s="15"/>
      <c r="T43" s="15"/>
      <c r="U43" s="174"/>
      <c r="V43" s="174"/>
      <c r="W43" s="15"/>
      <c r="X43" s="16" t="s">
        <v>151</v>
      </c>
      <c r="Y43" s="16" t="s">
        <v>152</v>
      </c>
      <c r="Z43" s="16" t="s">
        <v>166</v>
      </c>
      <c r="AA43" s="16" t="s">
        <v>167</v>
      </c>
      <c r="AB43" s="16"/>
    </row>
    <row r="44" s="158" customFormat="1" ht="96" customHeight="1" spans="1:28">
      <c r="A44" s="16">
        <v>33</v>
      </c>
      <c r="B44" s="16" t="s">
        <v>184</v>
      </c>
      <c r="C44" s="16" t="s">
        <v>185</v>
      </c>
      <c r="D44" s="16" t="s">
        <v>33</v>
      </c>
      <c r="E44" s="16" t="s">
        <v>37</v>
      </c>
      <c r="F44" s="16" t="s">
        <v>38</v>
      </c>
      <c r="G44" s="15" t="s">
        <v>42</v>
      </c>
      <c r="H44" s="19" t="s">
        <v>186</v>
      </c>
      <c r="I44" s="16" t="s">
        <v>160</v>
      </c>
      <c r="J44" s="15">
        <v>5.2</v>
      </c>
      <c r="K44" s="175">
        <v>390</v>
      </c>
      <c r="L44" s="20">
        <f t="shared" ref="L44:L51" si="8">SUM(M44,U44,V44,W44)</f>
        <v>390</v>
      </c>
      <c r="M44" s="175">
        <f t="shared" ref="M44:M51" si="9">SUM(N44:T44)</f>
        <v>390</v>
      </c>
      <c r="N44" s="175">
        <v>390</v>
      </c>
      <c r="O44" s="175"/>
      <c r="P44" s="175"/>
      <c r="Q44" s="15"/>
      <c r="R44" s="15"/>
      <c r="S44" s="15"/>
      <c r="T44" s="15"/>
      <c r="U44" s="174"/>
      <c r="V44" s="174"/>
      <c r="W44" s="15"/>
      <c r="X44" s="16" t="s">
        <v>42</v>
      </c>
      <c r="Y44" s="16" t="s">
        <v>43</v>
      </c>
      <c r="Z44" s="16" t="s">
        <v>161</v>
      </c>
      <c r="AA44" s="16" t="s">
        <v>162</v>
      </c>
      <c r="AB44" s="16"/>
    </row>
    <row r="45" s="158" customFormat="1" ht="96" customHeight="1" spans="1:28">
      <c r="A45" s="16">
        <v>34</v>
      </c>
      <c r="B45" s="16" t="s">
        <v>187</v>
      </c>
      <c r="C45" s="16" t="s">
        <v>188</v>
      </c>
      <c r="D45" s="16" t="s">
        <v>33</v>
      </c>
      <c r="E45" s="16" t="s">
        <v>37</v>
      </c>
      <c r="F45" s="16" t="s">
        <v>38</v>
      </c>
      <c r="G45" s="15" t="s">
        <v>189</v>
      </c>
      <c r="H45" s="19" t="s">
        <v>186</v>
      </c>
      <c r="I45" s="16" t="s">
        <v>160</v>
      </c>
      <c r="J45" s="15">
        <v>5.2</v>
      </c>
      <c r="K45" s="175">
        <v>390</v>
      </c>
      <c r="L45" s="20">
        <f t="shared" si="8"/>
        <v>390</v>
      </c>
      <c r="M45" s="175">
        <f t="shared" si="9"/>
        <v>390</v>
      </c>
      <c r="N45" s="175">
        <v>390</v>
      </c>
      <c r="O45" s="175"/>
      <c r="P45" s="175"/>
      <c r="Q45" s="15"/>
      <c r="R45" s="15"/>
      <c r="S45" s="15"/>
      <c r="T45" s="15"/>
      <c r="U45" s="174"/>
      <c r="V45" s="174"/>
      <c r="W45" s="15"/>
      <c r="X45" s="16" t="s">
        <v>190</v>
      </c>
      <c r="Y45" s="16" t="s">
        <v>191</v>
      </c>
      <c r="Z45" s="16" t="s">
        <v>161</v>
      </c>
      <c r="AA45" s="16" t="s">
        <v>162</v>
      </c>
      <c r="AB45" s="16"/>
    </row>
    <row r="46" s="158" customFormat="1" ht="109" customHeight="1" spans="1:28">
      <c r="A46" s="16">
        <v>35</v>
      </c>
      <c r="B46" s="16" t="s">
        <v>192</v>
      </c>
      <c r="C46" s="16" t="s">
        <v>193</v>
      </c>
      <c r="D46" s="16" t="s">
        <v>33</v>
      </c>
      <c r="E46" s="16" t="s">
        <v>37</v>
      </c>
      <c r="F46" s="16" t="s">
        <v>38</v>
      </c>
      <c r="G46" s="16" t="s">
        <v>58</v>
      </c>
      <c r="H46" s="178" t="s">
        <v>194</v>
      </c>
      <c r="I46" s="16" t="s">
        <v>160</v>
      </c>
      <c r="J46" s="16">
        <v>5</v>
      </c>
      <c r="K46" s="16">
        <v>375</v>
      </c>
      <c r="L46" s="20">
        <f t="shared" si="8"/>
        <v>120</v>
      </c>
      <c r="M46" s="175">
        <f t="shared" si="9"/>
        <v>120</v>
      </c>
      <c r="N46" s="20"/>
      <c r="O46" s="20">
        <v>120</v>
      </c>
      <c r="P46" s="20"/>
      <c r="Q46" s="20"/>
      <c r="R46" s="16"/>
      <c r="S46" s="16"/>
      <c r="T46" s="16"/>
      <c r="U46" s="16"/>
      <c r="V46" s="16"/>
      <c r="W46" s="16"/>
      <c r="X46" s="16" t="s">
        <v>58</v>
      </c>
      <c r="Y46" s="16" t="s">
        <v>60</v>
      </c>
      <c r="Z46" s="16" t="s">
        <v>161</v>
      </c>
      <c r="AA46" s="16" t="s">
        <v>162</v>
      </c>
      <c r="AB46" s="16">
        <v>241.1</v>
      </c>
    </row>
    <row r="47" s="158" customFormat="1" ht="109" customHeight="1" spans="1:28">
      <c r="A47" s="16">
        <v>36</v>
      </c>
      <c r="B47" s="16" t="s">
        <v>195</v>
      </c>
      <c r="C47" s="16" t="s">
        <v>196</v>
      </c>
      <c r="D47" s="16" t="s">
        <v>33</v>
      </c>
      <c r="E47" s="16" t="s">
        <v>37</v>
      </c>
      <c r="F47" s="16" t="s">
        <v>38</v>
      </c>
      <c r="G47" s="16" t="s">
        <v>197</v>
      </c>
      <c r="H47" s="172" t="s">
        <v>198</v>
      </c>
      <c r="I47" s="16" t="s">
        <v>160</v>
      </c>
      <c r="J47" s="16">
        <v>5.2</v>
      </c>
      <c r="K47" s="16">
        <v>390</v>
      </c>
      <c r="L47" s="20">
        <f t="shared" si="8"/>
        <v>390</v>
      </c>
      <c r="M47" s="175">
        <f t="shared" si="9"/>
        <v>390</v>
      </c>
      <c r="N47" s="20"/>
      <c r="O47" s="20">
        <v>390</v>
      </c>
      <c r="P47" s="20"/>
      <c r="Q47" s="20"/>
      <c r="R47" s="16"/>
      <c r="S47" s="16"/>
      <c r="T47" s="16"/>
      <c r="U47" s="16"/>
      <c r="V47" s="16"/>
      <c r="W47" s="16"/>
      <c r="X47" s="16" t="s">
        <v>88</v>
      </c>
      <c r="Y47" s="16" t="s">
        <v>89</v>
      </c>
      <c r="Z47" s="16" t="s">
        <v>161</v>
      </c>
      <c r="AA47" s="16" t="s">
        <v>162</v>
      </c>
      <c r="AB47" s="16"/>
    </row>
    <row r="48" s="158" customFormat="1" ht="109" customHeight="1" spans="1:28">
      <c r="A48" s="16">
        <v>37</v>
      </c>
      <c r="B48" s="16" t="s">
        <v>199</v>
      </c>
      <c r="C48" s="16" t="s">
        <v>200</v>
      </c>
      <c r="D48" s="16" t="s">
        <v>33</v>
      </c>
      <c r="E48" s="16" t="s">
        <v>37</v>
      </c>
      <c r="F48" s="16" t="s">
        <v>38</v>
      </c>
      <c r="G48" s="16" t="s">
        <v>173</v>
      </c>
      <c r="H48" s="172" t="s">
        <v>201</v>
      </c>
      <c r="I48" s="16" t="s">
        <v>160</v>
      </c>
      <c r="J48" s="16">
        <v>5</v>
      </c>
      <c r="K48" s="20">
        <v>375</v>
      </c>
      <c r="L48" s="20">
        <f t="shared" si="8"/>
        <v>375</v>
      </c>
      <c r="M48" s="175">
        <f t="shared" si="9"/>
        <v>375</v>
      </c>
      <c r="N48" s="20"/>
      <c r="O48" s="20">
        <v>375</v>
      </c>
      <c r="P48" s="20"/>
      <c r="Q48" s="20"/>
      <c r="R48" s="16"/>
      <c r="S48" s="16"/>
      <c r="T48" s="16"/>
      <c r="U48" s="16"/>
      <c r="V48" s="16"/>
      <c r="W48" s="16"/>
      <c r="X48" s="16" t="s">
        <v>173</v>
      </c>
      <c r="Y48" s="16" t="s">
        <v>174</v>
      </c>
      <c r="Z48" s="16" t="s">
        <v>161</v>
      </c>
      <c r="AA48" s="16" t="s">
        <v>162</v>
      </c>
      <c r="AB48" s="16"/>
    </row>
    <row r="49" s="158" customFormat="1" ht="109" customHeight="1" spans="1:29">
      <c r="A49" s="16">
        <v>38</v>
      </c>
      <c r="B49" s="16" t="s">
        <v>202</v>
      </c>
      <c r="C49" s="16" t="s">
        <v>203</v>
      </c>
      <c r="D49" s="16" t="s">
        <v>33</v>
      </c>
      <c r="E49" s="16" t="s">
        <v>37</v>
      </c>
      <c r="F49" s="16" t="s">
        <v>38</v>
      </c>
      <c r="G49" s="16" t="s">
        <v>204</v>
      </c>
      <c r="H49" s="172" t="s">
        <v>205</v>
      </c>
      <c r="I49" s="16" t="s">
        <v>160</v>
      </c>
      <c r="J49" s="16">
        <v>5</v>
      </c>
      <c r="K49" s="20">
        <v>375</v>
      </c>
      <c r="L49" s="20">
        <f t="shared" si="8"/>
        <v>375</v>
      </c>
      <c r="M49" s="175">
        <f t="shared" si="9"/>
        <v>375</v>
      </c>
      <c r="N49" s="20">
        <v>375</v>
      </c>
      <c r="O49" s="20"/>
      <c r="P49" s="20"/>
      <c r="Q49" s="20"/>
      <c r="R49" s="16"/>
      <c r="S49" s="16"/>
      <c r="T49" s="16"/>
      <c r="U49" s="16"/>
      <c r="V49" s="16"/>
      <c r="W49" s="16"/>
      <c r="X49" s="16" t="s">
        <v>53</v>
      </c>
      <c r="Y49" s="16" t="s">
        <v>55</v>
      </c>
      <c r="Z49" s="16" t="s">
        <v>161</v>
      </c>
      <c r="AA49" s="16" t="s">
        <v>162</v>
      </c>
      <c r="AB49" s="16"/>
    </row>
    <row r="50" s="158" customFormat="1" ht="109" customHeight="1" spans="1:29">
      <c r="A50" s="16">
        <v>39</v>
      </c>
      <c r="B50" s="16" t="s">
        <v>206</v>
      </c>
      <c r="C50" s="16" t="s">
        <v>207</v>
      </c>
      <c r="D50" s="16" t="s">
        <v>33</v>
      </c>
      <c r="E50" s="16" t="s">
        <v>37</v>
      </c>
      <c r="F50" s="16" t="s">
        <v>38</v>
      </c>
      <c r="G50" s="16" t="s">
        <v>208</v>
      </c>
      <c r="H50" s="172" t="s">
        <v>209</v>
      </c>
      <c r="I50" s="16" t="s">
        <v>160</v>
      </c>
      <c r="J50" s="16">
        <v>3.9</v>
      </c>
      <c r="K50" s="20">
        <v>350</v>
      </c>
      <c r="L50" s="20">
        <f t="shared" si="8"/>
        <v>290</v>
      </c>
      <c r="M50" s="175">
        <f t="shared" si="9"/>
        <v>290</v>
      </c>
      <c r="N50" s="20">
        <v>290</v>
      </c>
      <c r="O50" s="20"/>
      <c r="P50" s="20"/>
      <c r="Q50" s="20"/>
      <c r="R50" s="16"/>
      <c r="S50" s="16"/>
      <c r="T50" s="16"/>
      <c r="U50" s="16"/>
      <c r="V50" s="16"/>
      <c r="W50" s="16"/>
      <c r="X50" s="16" t="s">
        <v>48</v>
      </c>
      <c r="Y50" s="16" t="s">
        <v>50</v>
      </c>
      <c r="Z50" s="16" t="s">
        <v>161</v>
      </c>
      <c r="AA50" s="16" t="s">
        <v>162</v>
      </c>
      <c r="AB50" s="16"/>
    </row>
    <row r="51" s="158" customFormat="1" ht="179" customHeight="1" spans="1:29">
      <c r="A51" s="16">
        <v>40</v>
      </c>
      <c r="B51" s="16"/>
      <c r="C51" s="16" t="s">
        <v>210</v>
      </c>
      <c r="D51" s="16" t="s">
        <v>33</v>
      </c>
      <c r="E51" s="16" t="s">
        <v>211</v>
      </c>
      <c r="F51" s="16" t="s">
        <v>38</v>
      </c>
      <c r="G51" s="16" t="s">
        <v>212</v>
      </c>
      <c r="H51" s="172" t="s">
        <v>213</v>
      </c>
      <c r="I51" s="16" t="s">
        <v>41</v>
      </c>
      <c r="J51" s="16">
        <v>300</v>
      </c>
      <c r="K51" s="16">
        <v>207.6</v>
      </c>
      <c r="L51" s="20">
        <f t="shared" si="8"/>
        <v>207</v>
      </c>
      <c r="M51" s="175">
        <f t="shared" si="9"/>
        <v>207</v>
      </c>
      <c r="N51" s="16">
        <v>207</v>
      </c>
      <c r="O51" s="20"/>
      <c r="P51" s="20"/>
      <c r="Q51" s="20"/>
      <c r="R51" s="16"/>
      <c r="S51" s="16"/>
      <c r="T51" s="16"/>
      <c r="U51" s="16"/>
      <c r="V51" s="16"/>
      <c r="W51" s="16"/>
      <c r="X51" s="16" t="s">
        <v>88</v>
      </c>
      <c r="Y51" s="16" t="s">
        <v>89</v>
      </c>
      <c r="Z51" s="16" t="s">
        <v>161</v>
      </c>
      <c r="AA51" s="16" t="s">
        <v>162</v>
      </c>
      <c r="AB51" s="16"/>
    </row>
    <row r="52" s="157" customFormat="1" ht="43" customHeight="1" spans="1:29">
      <c r="A52" s="164" t="s">
        <v>214</v>
      </c>
      <c r="B52" s="164" t="s">
        <v>215</v>
      </c>
      <c r="C52" s="164"/>
      <c r="D52" s="167"/>
      <c r="E52" s="164"/>
      <c r="F52" s="164"/>
      <c r="G52" s="164"/>
      <c r="H52" s="164">
        <v>3</v>
      </c>
      <c r="I52" s="168"/>
      <c r="J52" s="168">
        <f>L52/L7</f>
        <v>0.0990411677454596</v>
      </c>
      <c r="K52" s="169">
        <f>SUM(K53:K55)</f>
        <v>2897.22</v>
      </c>
      <c r="L52" s="169">
        <f>SUM(L53:L55)</f>
        <v>2258.82</v>
      </c>
      <c r="M52" s="169">
        <f>SUM(M53:M55)</f>
        <v>2258.82</v>
      </c>
      <c r="N52" s="169">
        <f>SUM(N53:N55)</f>
        <v>0</v>
      </c>
      <c r="O52" s="169">
        <f>SUM(O53:O55)</f>
        <v>2258.82</v>
      </c>
      <c r="P52" s="169">
        <f t="shared" ref="P52:W52" si="10">SUM(P53:P55)</f>
        <v>0</v>
      </c>
      <c r="Q52" s="169">
        <f t="shared" si="10"/>
        <v>0</v>
      </c>
      <c r="R52" s="169">
        <f t="shared" si="10"/>
        <v>0</v>
      </c>
      <c r="S52" s="169">
        <f t="shared" si="10"/>
        <v>0</v>
      </c>
      <c r="T52" s="169">
        <f t="shared" si="10"/>
        <v>0</v>
      </c>
      <c r="U52" s="169">
        <f t="shared" si="10"/>
        <v>0</v>
      </c>
      <c r="V52" s="169">
        <f t="shared" si="10"/>
        <v>0</v>
      </c>
      <c r="W52" s="169">
        <f t="shared" si="10"/>
        <v>0</v>
      </c>
      <c r="X52" s="170"/>
      <c r="Y52" s="173"/>
      <c r="Z52" s="169"/>
      <c r="AA52" s="169"/>
      <c r="AB52" s="169"/>
    </row>
    <row r="53" s="159" customFormat="1" ht="131" customHeight="1" spans="1:29">
      <c r="A53" s="16">
        <v>40</v>
      </c>
      <c r="B53" s="16" t="s">
        <v>216</v>
      </c>
      <c r="C53" s="16" t="s">
        <v>217</v>
      </c>
      <c r="D53" s="16" t="s">
        <v>218</v>
      </c>
      <c r="E53" s="16" t="s">
        <v>219</v>
      </c>
      <c r="F53" s="15" t="s">
        <v>38</v>
      </c>
      <c r="G53" s="16" t="s">
        <v>220</v>
      </c>
      <c r="H53" s="172" t="s">
        <v>221</v>
      </c>
      <c r="I53" s="16" t="s">
        <v>222</v>
      </c>
      <c r="J53" s="15">
        <v>1216</v>
      </c>
      <c r="K53" s="15">
        <v>1276.8</v>
      </c>
      <c r="L53" s="20">
        <f>SUM(M53,U53:W53)</f>
        <v>638.4</v>
      </c>
      <c r="M53" s="20">
        <f>SUM(N53:T53)</f>
        <v>638.4</v>
      </c>
      <c r="N53" s="20"/>
      <c r="O53" s="175">
        <v>638.4</v>
      </c>
      <c r="P53" s="175"/>
      <c r="Q53" s="175"/>
      <c r="R53" s="15"/>
      <c r="S53" s="15"/>
      <c r="T53" s="15"/>
      <c r="U53" s="15"/>
      <c r="V53" s="15"/>
      <c r="W53" s="15"/>
      <c r="X53" s="15" t="s">
        <v>223</v>
      </c>
      <c r="Y53" s="16" t="s">
        <v>224</v>
      </c>
      <c r="Z53" s="15" t="s">
        <v>223</v>
      </c>
      <c r="AA53" s="16" t="s">
        <v>224</v>
      </c>
      <c r="AB53" s="16">
        <v>638.4</v>
      </c>
    </row>
    <row r="54" s="159" customFormat="1" ht="131" customHeight="1" spans="1:29">
      <c r="A54" s="16">
        <v>41</v>
      </c>
      <c r="B54" s="16" t="s">
        <v>225</v>
      </c>
      <c r="C54" s="16" t="s">
        <v>226</v>
      </c>
      <c r="D54" s="16" t="s">
        <v>218</v>
      </c>
      <c r="E54" s="16" t="s">
        <v>227</v>
      </c>
      <c r="F54" s="15" t="s">
        <v>38</v>
      </c>
      <c r="G54" s="16" t="s">
        <v>220</v>
      </c>
      <c r="H54" s="172" t="s">
        <v>228</v>
      </c>
      <c r="I54" s="16" t="s">
        <v>222</v>
      </c>
      <c r="J54" s="15">
        <v>15033</v>
      </c>
      <c r="K54" s="20">
        <f>SUM(L54,T54:V54)</f>
        <v>1503.3</v>
      </c>
      <c r="L54" s="20">
        <f>SUM(M54,U54:W54)</f>
        <v>1503.3</v>
      </c>
      <c r="M54" s="20">
        <f>SUM(N54:T54)</f>
        <v>1503.3</v>
      </c>
      <c r="N54" s="20"/>
      <c r="O54" s="175">
        <v>1503.3</v>
      </c>
      <c r="P54" s="175"/>
      <c r="Q54" s="175"/>
      <c r="R54" s="15"/>
      <c r="S54" s="15"/>
      <c r="T54" s="15"/>
      <c r="U54" s="15"/>
      <c r="V54" s="15"/>
      <c r="W54" s="15"/>
      <c r="X54" s="15" t="s">
        <v>223</v>
      </c>
      <c r="Y54" s="16" t="s">
        <v>224</v>
      </c>
      <c r="Z54" s="15" t="s">
        <v>223</v>
      </c>
      <c r="AA54" s="16" t="s">
        <v>224</v>
      </c>
      <c r="AB54" s="16"/>
    </row>
    <row r="55" s="159" customFormat="1" ht="131" customHeight="1" spans="1:29">
      <c r="A55" s="16">
        <v>42</v>
      </c>
      <c r="B55" s="16" t="s">
        <v>229</v>
      </c>
      <c r="C55" s="16" t="s">
        <v>230</v>
      </c>
      <c r="D55" s="16" t="s">
        <v>218</v>
      </c>
      <c r="E55" s="16" t="s">
        <v>227</v>
      </c>
      <c r="F55" s="15" t="s">
        <v>38</v>
      </c>
      <c r="G55" s="16" t="s">
        <v>220</v>
      </c>
      <c r="H55" s="172" t="s">
        <v>231</v>
      </c>
      <c r="I55" s="16" t="s">
        <v>222</v>
      </c>
      <c r="J55" s="15">
        <v>5856</v>
      </c>
      <c r="K55" s="20">
        <f>SUM(L55,T55:V55)</f>
        <v>117.12</v>
      </c>
      <c r="L55" s="20">
        <f>SUM(M55,U55:W55)</f>
        <v>117.12</v>
      </c>
      <c r="M55" s="20">
        <f>SUM(N55:T55)</f>
        <v>117.12</v>
      </c>
      <c r="N55" s="20"/>
      <c r="O55" s="175">
        <v>117.12</v>
      </c>
      <c r="P55" s="175"/>
      <c r="Q55" s="175"/>
      <c r="R55" s="15"/>
      <c r="S55" s="15"/>
      <c r="T55" s="15"/>
      <c r="U55" s="15"/>
      <c r="V55" s="15"/>
      <c r="W55" s="15"/>
      <c r="X55" s="15" t="s">
        <v>223</v>
      </c>
      <c r="Y55" s="16" t="s">
        <v>224</v>
      </c>
      <c r="Z55" s="15" t="s">
        <v>223</v>
      </c>
      <c r="AA55" s="16" t="s">
        <v>224</v>
      </c>
      <c r="AB55" s="16"/>
    </row>
    <row r="56" s="157" customFormat="1" ht="43" customHeight="1" spans="1:29">
      <c r="A56" s="164" t="s">
        <v>232</v>
      </c>
      <c r="B56" s="164" t="s">
        <v>233</v>
      </c>
      <c r="C56" s="164"/>
      <c r="D56" s="167"/>
      <c r="E56" s="164"/>
      <c r="F56" s="164"/>
      <c r="G56" s="164"/>
      <c r="H56" s="164">
        <v>2</v>
      </c>
      <c r="I56" s="168"/>
      <c r="J56" s="168">
        <f>K56/L7</f>
        <v>0.172117363197639</v>
      </c>
      <c r="K56" s="169">
        <f>SUM(K57:K62)</f>
        <v>3925.46</v>
      </c>
      <c r="L56" s="169">
        <f>SUM(L57:L62)</f>
        <v>3773.46</v>
      </c>
      <c r="M56" s="169">
        <f>SUM(M57:M62)</f>
        <v>3773.46</v>
      </c>
      <c r="N56" s="169">
        <f>SUM(N57:N62)</f>
        <v>1268</v>
      </c>
      <c r="O56" s="169">
        <f>SUM(O57:O62)</f>
        <v>2505.46</v>
      </c>
      <c r="P56" s="169">
        <f t="shared" ref="P56:W56" si="11">SUM(P57:P62)</f>
        <v>0</v>
      </c>
      <c r="Q56" s="169">
        <f t="shared" si="11"/>
        <v>0</v>
      </c>
      <c r="R56" s="169">
        <f t="shared" si="11"/>
        <v>0</v>
      </c>
      <c r="S56" s="169">
        <f t="shared" si="11"/>
        <v>0</v>
      </c>
      <c r="T56" s="169">
        <f t="shared" si="11"/>
        <v>0</v>
      </c>
      <c r="U56" s="169">
        <f t="shared" si="11"/>
        <v>0</v>
      </c>
      <c r="V56" s="169">
        <f t="shared" si="11"/>
        <v>0</v>
      </c>
      <c r="W56" s="169">
        <f t="shared" si="11"/>
        <v>0</v>
      </c>
      <c r="X56" s="170"/>
      <c r="Y56" s="173"/>
      <c r="Z56" s="169"/>
      <c r="AA56" s="169"/>
      <c r="AB56" s="169"/>
    </row>
    <row r="57" s="159" customFormat="1" ht="171" customHeight="1" spans="1:29">
      <c r="A57" s="16">
        <v>43</v>
      </c>
      <c r="B57" s="16" t="s">
        <v>234</v>
      </c>
      <c r="C57" s="16" t="s">
        <v>235</v>
      </c>
      <c r="D57" s="16" t="s">
        <v>236</v>
      </c>
      <c r="E57" s="16" t="s">
        <v>237</v>
      </c>
      <c r="F57" s="15" t="s">
        <v>38</v>
      </c>
      <c r="G57" s="16" t="s">
        <v>238</v>
      </c>
      <c r="H57" s="172" t="s">
        <v>239</v>
      </c>
      <c r="I57" s="16" t="s">
        <v>160</v>
      </c>
      <c r="J57" s="15">
        <v>6.4</v>
      </c>
      <c r="K57" s="175">
        <v>1475.46</v>
      </c>
      <c r="L57" s="175">
        <v>1375.46</v>
      </c>
      <c r="M57" s="175">
        <v>1375.46</v>
      </c>
      <c r="N57" s="20"/>
      <c r="O57" s="175">
        <v>1375.46</v>
      </c>
      <c r="P57" s="175"/>
      <c r="Q57" s="175"/>
      <c r="R57" s="15"/>
      <c r="S57" s="15"/>
      <c r="T57" s="15"/>
      <c r="U57" s="15"/>
      <c r="V57" s="15"/>
      <c r="W57" s="15"/>
      <c r="X57" s="15" t="s">
        <v>53</v>
      </c>
      <c r="Y57" s="16" t="s">
        <v>55</v>
      </c>
      <c r="Z57" s="15" t="s">
        <v>240</v>
      </c>
      <c r="AA57" s="16" t="s">
        <v>241</v>
      </c>
      <c r="AB57" s="16"/>
    </row>
    <row r="58" s="159" customFormat="1" ht="163" customHeight="1" spans="1:29">
      <c r="A58" s="16">
        <v>44</v>
      </c>
      <c r="B58" s="16" t="s">
        <v>242</v>
      </c>
      <c r="C58" s="16" t="s">
        <v>243</v>
      </c>
      <c r="D58" s="16" t="s">
        <v>236</v>
      </c>
      <c r="E58" s="16" t="s">
        <v>237</v>
      </c>
      <c r="F58" s="15" t="s">
        <v>38</v>
      </c>
      <c r="G58" s="16" t="s">
        <v>244</v>
      </c>
      <c r="H58" s="172" t="s">
        <v>245</v>
      </c>
      <c r="I58" s="16" t="s">
        <v>160</v>
      </c>
      <c r="J58" s="15">
        <v>8.8</v>
      </c>
      <c r="K58" s="20">
        <v>1200</v>
      </c>
      <c r="L58" s="175">
        <v>1130</v>
      </c>
      <c r="M58" s="175">
        <v>1130</v>
      </c>
      <c r="N58" s="20"/>
      <c r="O58" s="175">
        <v>1130</v>
      </c>
      <c r="P58" s="175"/>
      <c r="Q58" s="175"/>
      <c r="R58" s="15"/>
      <c r="S58" s="15"/>
      <c r="T58" s="15"/>
      <c r="U58" s="15"/>
      <c r="V58" s="15"/>
      <c r="W58" s="15"/>
      <c r="X58" s="15" t="s">
        <v>190</v>
      </c>
      <c r="Y58" s="16" t="s">
        <v>191</v>
      </c>
      <c r="Z58" s="15" t="s">
        <v>240</v>
      </c>
      <c r="AA58" s="16" t="s">
        <v>241</v>
      </c>
      <c r="AB58" s="16"/>
    </row>
    <row r="59" s="159" customFormat="1" ht="94" customHeight="1" spans="1:29">
      <c r="A59" s="16">
        <v>45</v>
      </c>
      <c r="B59" s="16"/>
      <c r="C59" s="16" t="s">
        <v>246</v>
      </c>
      <c r="D59" s="16" t="s">
        <v>236</v>
      </c>
      <c r="E59" s="16" t="s">
        <v>247</v>
      </c>
      <c r="F59" s="15" t="s">
        <v>38</v>
      </c>
      <c r="G59" s="16" t="s">
        <v>248</v>
      </c>
      <c r="H59" s="172" t="s">
        <v>249</v>
      </c>
      <c r="I59" s="16" t="s">
        <v>150</v>
      </c>
      <c r="J59" s="15">
        <v>10000</v>
      </c>
      <c r="K59" s="20">
        <v>390</v>
      </c>
      <c r="L59" s="20">
        <v>390</v>
      </c>
      <c r="M59" s="20">
        <v>390</v>
      </c>
      <c r="N59" s="20">
        <v>390</v>
      </c>
      <c r="O59" s="175"/>
      <c r="P59" s="175"/>
      <c r="Q59" s="175"/>
      <c r="R59" s="15"/>
      <c r="S59" s="15"/>
      <c r="T59" s="15"/>
      <c r="U59" s="15"/>
      <c r="V59" s="15"/>
      <c r="W59" s="15"/>
      <c r="X59" s="16" t="s">
        <v>88</v>
      </c>
      <c r="Y59" s="16" t="s">
        <v>89</v>
      </c>
      <c r="Z59" s="15" t="s">
        <v>240</v>
      </c>
      <c r="AA59" s="16" t="s">
        <v>241</v>
      </c>
      <c r="AB59" s="16"/>
    </row>
    <row r="60" s="158" customFormat="1" ht="83" customHeight="1" spans="1:29">
      <c r="A60" s="16">
        <v>46</v>
      </c>
      <c r="B60" s="16"/>
      <c r="C60" s="16" t="s">
        <v>250</v>
      </c>
      <c r="D60" s="16" t="s">
        <v>236</v>
      </c>
      <c r="E60" s="16"/>
      <c r="F60" s="15" t="s">
        <v>38</v>
      </c>
      <c r="G60" s="16" t="s">
        <v>251</v>
      </c>
      <c r="H60" s="172" t="s">
        <v>252</v>
      </c>
      <c r="I60" s="16"/>
      <c r="J60" s="16"/>
      <c r="K60" s="16">
        <v>380</v>
      </c>
      <c r="L60" s="20">
        <v>398</v>
      </c>
      <c r="M60" s="20">
        <v>398</v>
      </c>
      <c r="N60" s="20">
        <v>398</v>
      </c>
      <c r="O60" s="20"/>
      <c r="P60" s="20"/>
      <c r="Q60" s="20"/>
      <c r="R60" s="16"/>
      <c r="S60" s="16"/>
      <c r="T60" s="16"/>
      <c r="U60" s="16"/>
      <c r="V60" s="16"/>
      <c r="W60" s="16"/>
      <c r="X60" s="16" t="s">
        <v>94</v>
      </c>
      <c r="Y60" s="16" t="s">
        <v>96</v>
      </c>
      <c r="Z60" s="16" t="s">
        <v>161</v>
      </c>
      <c r="AA60" s="16" t="s">
        <v>162</v>
      </c>
      <c r="AB60" s="16"/>
    </row>
    <row r="61" s="158" customFormat="1" ht="75" customHeight="1" spans="1:29">
      <c r="A61" s="16">
        <v>47</v>
      </c>
      <c r="B61" s="16"/>
      <c r="C61" s="16" t="s">
        <v>253</v>
      </c>
      <c r="D61" s="16" t="s">
        <v>236</v>
      </c>
      <c r="E61" s="16" t="s">
        <v>247</v>
      </c>
      <c r="F61" s="15" t="s">
        <v>38</v>
      </c>
      <c r="G61" s="16" t="s">
        <v>254</v>
      </c>
      <c r="H61" s="172" t="s">
        <v>255</v>
      </c>
      <c r="I61" s="16" t="s">
        <v>150</v>
      </c>
      <c r="J61" s="16">
        <v>15500</v>
      </c>
      <c r="K61" s="20">
        <v>180</v>
      </c>
      <c r="L61" s="20">
        <v>180</v>
      </c>
      <c r="M61" s="20">
        <v>180</v>
      </c>
      <c r="N61" s="20">
        <v>180</v>
      </c>
      <c r="O61" s="20"/>
      <c r="P61" s="20"/>
      <c r="Q61" s="20"/>
      <c r="R61" s="16"/>
      <c r="S61" s="16"/>
      <c r="T61" s="16"/>
      <c r="U61" s="16"/>
      <c r="V61" s="16"/>
      <c r="W61" s="16"/>
      <c r="X61" s="16" t="s">
        <v>42</v>
      </c>
      <c r="Y61" s="16" t="s">
        <v>43</v>
      </c>
      <c r="Z61" s="16" t="s">
        <v>256</v>
      </c>
      <c r="AA61" s="16" t="s">
        <v>257</v>
      </c>
      <c r="AB61" s="16"/>
    </row>
    <row r="62" s="158" customFormat="1" ht="75" customHeight="1" spans="1:29">
      <c r="A62" s="16">
        <v>48</v>
      </c>
      <c r="B62" s="16"/>
      <c r="C62" s="16" t="s">
        <v>258</v>
      </c>
      <c r="D62" s="16" t="s">
        <v>233</v>
      </c>
      <c r="E62" s="16" t="s">
        <v>247</v>
      </c>
      <c r="F62" s="16"/>
      <c r="G62" s="16" t="s">
        <v>259</v>
      </c>
      <c r="H62" s="172" t="s">
        <v>260</v>
      </c>
      <c r="I62" s="16" t="s">
        <v>160</v>
      </c>
      <c r="J62" s="16">
        <v>2.2</v>
      </c>
      <c r="K62" s="20">
        <v>300</v>
      </c>
      <c r="L62" s="20">
        <v>300</v>
      </c>
      <c r="M62" s="20">
        <v>300</v>
      </c>
      <c r="N62" s="20">
        <v>300</v>
      </c>
      <c r="O62" s="20"/>
      <c r="P62" s="20"/>
      <c r="Q62" s="20"/>
      <c r="R62" s="16"/>
      <c r="S62" s="16"/>
      <c r="T62" s="16"/>
      <c r="U62" s="16"/>
      <c r="V62" s="16"/>
      <c r="W62" s="16"/>
      <c r="X62" s="16" t="s">
        <v>261</v>
      </c>
      <c r="Y62" s="16" t="s">
        <v>262</v>
      </c>
      <c r="Z62" s="16" t="s">
        <v>256</v>
      </c>
      <c r="AA62" s="16" t="s">
        <v>257</v>
      </c>
      <c r="AB62" s="16"/>
    </row>
    <row r="63" s="157" customFormat="1" ht="43" customHeight="1" spans="1:29">
      <c r="A63" s="164" t="s">
        <v>263</v>
      </c>
      <c r="B63" s="164" t="s">
        <v>264</v>
      </c>
      <c r="C63" s="164"/>
      <c r="D63" s="167"/>
      <c r="E63" s="164"/>
      <c r="F63" s="164"/>
      <c r="G63" s="164"/>
      <c r="H63" s="164">
        <v>1</v>
      </c>
      <c r="I63" s="168"/>
      <c r="J63" s="168">
        <f>L63/L7</f>
        <v>0.039461776932608</v>
      </c>
      <c r="K63" s="169">
        <f>SUM(K64)</f>
        <v>900</v>
      </c>
      <c r="L63" s="169">
        <f>SUM(L64)</f>
        <v>900</v>
      </c>
      <c r="M63" s="169">
        <f>SUM(M64)</f>
        <v>900</v>
      </c>
      <c r="N63" s="169">
        <f>SUM(N64)</f>
        <v>900</v>
      </c>
      <c r="O63" s="169">
        <f t="shared" ref="O63:W63" si="12">SUM(O64)</f>
        <v>0</v>
      </c>
      <c r="P63" s="169">
        <f t="shared" si="12"/>
        <v>0</v>
      </c>
      <c r="Q63" s="169">
        <f t="shared" si="12"/>
        <v>0</v>
      </c>
      <c r="R63" s="169">
        <f t="shared" si="12"/>
        <v>0</v>
      </c>
      <c r="S63" s="169">
        <f t="shared" si="12"/>
        <v>0</v>
      </c>
      <c r="T63" s="169">
        <f t="shared" si="12"/>
        <v>0</v>
      </c>
      <c r="U63" s="169">
        <f t="shared" si="12"/>
        <v>0</v>
      </c>
      <c r="V63" s="169">
        <f t="shared" si="12"/>
        <v>0</v>
      </c>
      <c r="W63" s="169">
        <f t="shared" si="12"/>
        <v>0</v>
      </c>
      <c r="X63" s="170"/>
      <c r="Y63" s="173"/>
      <c r="Z63" s="169"/>
      <c r="AA63" s="169"/>
      <c r="AB63" s="169"/>
    </row>
    <row r="64" s="176" customFormat="1" ht="139" customHeight="1" spans="1:29">
      <c r="A64" s="16">
        <v>49</v>
      </c>
      <c r="B64" s="16" t="s">
        <v>265</v>
      </c>
      <c r="C64" s="16" t="s">
        <v>266</v>
      </c>
      <c r="D64" s="16" t="s">
        <v>267</v>
      </c>
      <c r="E64" s="16" t="s">
        <v>268</v>
      </c>
      <c r="F64" s="16" t="s">
        <v>38</v>
      </c>
      <c r="G64" s="16" t="s">
        <v>220</v>
      </c>
      <c r="H64" s="19" t="s">
        <v>269</v>
      </c>
      <c r="I64" s="16" t="s">
        <v>222</v>
      </c>
      <c r="J64" s="16">
        <v>3000</v>
      </c>
      <c r="K64" s="20">
        <f>SUM(L64,T64:V64)</f>
        <v>900</v>
      </c>
      <c r="L64" s="20">
        <f>SUM(M64)</f>
        <v>900</v>
      </c>
      <c r="M64" s="20">
        <v>900</v>
      </c>
      <c r="N64" s="20">
        <v>900</v>
      </c>
      <c r="O64" s="20"/>
      <c r="P64" s="20"/>
      <c r="Q64" s="16"/>
      <c r="R64" s="16"/>
      <c r="S64" s="16"/>
      <c r="T64" s="16"/>
      <c r="U64" s="16"/>
      <c r="V64" s="16"/>
      <c r="W64" s="16"/>
      <c r="X64" s="16" t="s">
        <v>270</v>
      </c>
      <c r="Y64" s="16" t="s">
        <v>271</v>
      </c>
      <c r="Z64" s="16" t="s">
        <v>270</v>
      </c>
      <c r="AA64" s="16" t="s">
        <v>271</v>
      </c>
      <c r="AB64" s="16"/>
      <c r="AC64" s="159"/>
    </row>
    <row r="65" s="157" customFormat="1" ht="43" customHeight="1" spans="1:29">
      <c r="A65" s="164" t="s">
        <v>272</v>
      </c>
      <c r="B65" s="164" t="s">
        <v>273</v>
      </c>
      <c r="C65" s="164"/>
      <c r="D65" s="167"/>
      <c r="E65" s="164"/>
      <c r="F65" s="164"/>
      <c r="G65" s="164"/>
      <c r="H65" s="164">
        <v>1</v>
      </c>
      <c r="I65" s="168"/>
      <c r="J65" s="168">
        <f>K65/L7</f>
        <v>0.094541648246766</v>
      </c>
      <c r="K65" s="169">
        <f>SUM(K66)</f>
        <v>2156.2</v>
      </c>
      <c r="L65" s="169">
        <f>SUM(L66)</f>
        <v>2156.2</v>
      </c>
      <c r="M65" s="169">
        <f>SUM(M66)</f>
        <v>2156.2</v>
      </c>
      <c r="N65" s="169">
        <f>SUM(N66)</f>
        <v>2156.2</v>
      </c>
      <c r="O65" s="169">
        <f t="shared" ref="O65:W65" si="13">SUM(O66)</f>
        <v>0</v>
      </c>
      <c r="P65" s="169">
        <f t="shared" si="13"/>
        <v>0</v>
      </c>
      <c r="Q65" s="169">
        <f t="shared" si="13"/>
        <v>0</v>
      </c>
      <c r="R65" s="169">
        <f t="shared" si="13"/>
        <v>0</v>
      </c>
      <c r="S65" s="169">
        <f t="shared" si="13"/>
        <v>0</v>
      </c>
      <c r="T65" s="169">
        <f t="shared" si="13"/>
        <v>0</v>
      </c>
      <c r="U65" s="169">
        <f t="shared" si="13"/>
        <v>0</v>
      </c>
      <c r="V65" s="169">
        <f t="shared" si="13"/>
        <v>0</v>
      </c>
      <c r="W65" s="169">
        <f t="shared" si="13"/>
        <v>0</v>
      </c>
      <c r="X65" s="170"/>
      <c r="Y65" s="173"/>
      <c r="Z65" s="169"/>
      <c r="AA65" s="169"/>
      <c r="AB65" s="169"/>
    </row>
    <row r="66" s="177" customFormat="1" ht="130" customHeight="1" spans="1:29">
      <c r="A66" s="16">
        <v>50</v>
      </c>
      <c r="B66" s="16" t="s">
        <v>274</v>
      </c>
      <c r="C66" s="16" t="s">
        <v>275</v>
      </c>
      <c r="D66" s="16" t="s">
        <v>273</v>
      </c>
      <c r="E66" s="16" t="s">
        <v>276</v>
      </c>
      <c r="F66" s="16" t="s">
        <v>38</v>
      </c>
      <c r="G66" s="16" t="s">
        <v>277</v>
      </c>
      <c r="H66" s="19" t="s">
        <v>278</v>
      </c>
      <c r="I66" s="16" t="s">
        <v>279</v>
      </c>
      <c r="J66" s="16">
        <v>2156.2</v>
      </c>
      <c r="K66" s="20">
        <f>SUM(L66,T66:V66)</f>
        <v>2156.2</v>
      </c>
      <c r="L66" s="20">
        <f>SUM(M66)</f>
        <v>2156.2</v>
      </c>
      <c r="M66" s="20">
        <v>2156.2</v>
      </c>
      <c r="N66" s="20">
        <v>2156.2</v>
      </c>
      <c r="O66" s="20"/>
      <c r="P66" s="20"/>
      <c r="Q66" s="16"/>
      <c r="R66" s="16"/>
      <c r="S66" s="16"/>
      <c r="T66" s="16"/>
      <c r="U66" s="16"/>
      <c r="V66" s="16"/>
      <c r="W66" s="16"/>
      <c r="X66" s="16" t="s">
        <v>280</v>
      </c>
      <c r="Y66" s="16" t="s">
        <v>281</v>
      </c>
      <c r="Z66" s="16" t="s">
        <v>280</v>
      </c>
      <c r="AA66" s="16" t="s">
        <v>281</v>
      </c>
      <c r="AB66" s="16"/>
      <c r="AC66" s="158"/>
    </row>
  </sheetData>
  <autoFilter xmlns:etc="http://www.wps.cn/officeDocument/2017/etCustomData" ref="A9:AC66" etc:filterBottomFollowUsedRange="0">
    <extLst/>
  </autoFilter>
  <mergeCells count="39">
    <mergeCell ref="A1:AB1"/>
    <mergeCell ref="A2:D2"/>
    <mergeCell ref="M3:W3"/>
    <mergeCell ref="M4:T4"/>
    <mergeCell ref="N5:O5"/>
    <mergeCell ref="A7:F7"/>
    <mergeCell ref="B8:C8"/>
    <mergeCell ref="A9:C9"/>
    <mergeCell ref="A34:C34"/>
    <mergeCell ref="B52:C52"/>
    <mergeCell ref="B56:C56"/>
    <mergeCell ref="B63:C63"/>
    <mergeCell ref="B65:C65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5:M6"/>
    <mergeCell ref="P5:P6"/>
    <mergeCell ref="Q5:Q6"/>
    <mergeCell ref="R5:R6"/>
    <mergeCell ref="S5:S6"/>
    <mergeCell ref="T5:T6"/>
    <mergeCell ref="U4:U6"/>
    <mergeCell ref="V4:V6"/>
    <mergeCell ref="W4:W6"/>
    <mergeCell ref="X3:X6"/>
    <mergeCell ref="Y3:Y6"/>
    <mergeCell ref="Z3:Z6"/>
    <mergeCell ref="AA3:AA6"/>
    <mergeCell ref="AB3:AB6"/>
  </mergeCells>
  <dataValidations count="4">
    <dataValidation type="list" allowBlank="1" showInputMessage="1" showErrorMessage="1" sqref="E10 E25:E50 E52:E55 E59:E66">
      <formula1>INDIRECT(D10)</formula1>
    </dataValidation>
    <dataValidation type="list" allowBlank="1" showInputMessage="1" showErrorMessage="1" sqref="F10 F36 F52 F25:F33 F57:F61 F63:F66">
      <formula1>"新建,改建,扩建"</formula1>
    </dataValidation>
    <dataValidation type="list" allowBlank="1" showInputMessage="1" showErrorMessage="1" sqref="D34 D26:D31 D52:D53">
      <formula1>下拉列表!$A$1:$G$1</formula1>
    </dataValidation>
    <dataValidation type="list" allowBlank="1" showErrorMessage="1" sqref="E51 E56 E4:E9 E11:E24 E67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</dataValidations>
  <pageMargins left="0.393055555555556" right="0.393055555555556" top="0.590277777777778" bottom="0.590277777777778" header="0.298611111111111" footer="0.298611111111111"/>
  <pageSetup paperSize="8" scale="5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B28"/>
  <sheetViews>
    <sheetView showZeros="0" zoomScale="85" zoomScaleNormal="85" workbookViewId="0">
      <pane ySplit="6" topLeftCell="A7" activePane="bottomLeft" state="frozen"/>
      <selection/>
      <selection pane="bottomLeft" activeCell="H11" sqref="H11"/>
    </sheetView>
  </sheetViews>
  <sheetFormatPr defaultColWidth="9" defaultRowHeight="17.5"/>
  <cols>
    <col min="1" max="1" width="5.84615384615385" style="29" customWidth="1"/>
    <col min="2" max="2" width="13.5692307692308" style="30" hidden="1" customWidth="1"/>
    <col min="3" max="3" width="42.2" style="30" customWidth="1"/>
    <col min="4" max="4" width="14.0769230769231" style="30" customWidth="1"/>
    <col min="5" max="5" width="13.6923076923077" style="30" customWidth="1"/>
    <col min="6" max="6" width="7.16923076923077" style="30" customWidth="1"/>
    <col min="7" max="7" width="13.2307692307692" style="30" customWidth="1"/>
    <col min="8" max="8" width="73.5230769230769" style="31" customWidth="1"/>
    <col min="9" max="9" width="11" style="31" customWidth="1"/>
    <col min="10" max="10" width="12.8538461538462" style="31" customWidth="1"/>
    <col min="11" max="11" width="15.7538461538462" style="31" customWidth="1"/>
    <col min="12" max="15" width="16.5384615384615" style="32" customWidth="1"/>
    <col min="16" max="16" width="12.3076923076923" style="32" hidden="1" customWidth="1"/>
    <col min="17" max="17" width="13.5384615384615" style="32" hidden="1" customWidth="1"/>
    <col min="18" max="20" width="11" style="30" hidden="1" customWidth="1"/>
    <col min="21" max="22" width="13.5384615384615" style="30" hidden="1" customWidth="1"/>
    <col min="23" max="23" width="10.8538461538462" style="30" hidden="1" customWidth="1"/>
    <col min="24" max="24" width="13.9846153846154" style="145" customWidth="1"/>
    <col min="25" max="25" width="13.9846153846154" style="146" customWidth="1"/>
    <col min="26" max="26" width="16.2230769230769" style="33" customWidth="1"/>
    <col min="27" max="27" width="16.2230769230769" style="34" customWidth="1"/>
    <col min="28" max="28" width="9.55384615384615" style="33" customWidth="1"/>
    <col min="29" max="29" width="10.2307692307692" style="35"/>
    <col min="30" max="16384" width="9" style="35"/>
  </cols>
  <sheetData>
    <row r="1" s="41" customFormat="1" ht="59" customHeight="1" spans="1:28">
      <c r="A1" s="37" t="s">
        <v>0</v>
      </c>
      <c r="B1" s="37"/>
      <c r="C1" s="37"/>
      <c r="D1" s="38"/>
      <c r="E1" s="38"/>
      <c r="F1" s="38"/>
      <c r="G1" s="37"/>
      <c r="H1" s="37"/>
      <c r="I1" s="37"/>
      <c r="J1" s="37"/>
      <c r="K1" s="37"/>
      <c r="L1" s="39"/>
      <c r="M1" s="40"/>
      <c r="N1" s="40"/>
      <c r="O1" s="40"/>
      <c r="P1" s="40"/>
      <c r="Q1" s="40"/>
      <c r="R1" s="38"/>
      <c r="S1" s="38"/>
      <c r="T1" s="38"/>
      <c r="U1" s="38"/>
      <c r="V1" s="38"/>
      <c r="W1" s="38"/>
      <c r="X1" s="160"/>
      <c r="Y1" s="37"/>
      <c r="Z1" s="37"/>
      <c r="AA1" s="37"/>
      <c r="AB1" s="37"/>
    </row>
    <row r="2" s="46" customFormat="1" ht="38" customHeight="1" spans="1:28">
      <c r="A2" s="42" t="s">
        <v>1</v>
      </c>
      <c r="B2" s="42"/>
      <c r="C2" s="42"/>
      <c r="D2" s="42"/>
      <c r="E2" s="43"/>
      <c r="F2" s="42"/>
      <c r="G2" s="42"/>
      <c r="H2" s="44"/>
      <c r="I2" s="42"/>
      <c r="J2" s="42"/>
      <c r="K2" s="42"/>
      <c r="L2" s="45"/>
      <c r="M2" s="45"/>
      <c r="N2" s="45"/>
      <c r="O2" s="161"/>
      <c r="P2" s="161"/>
      <c r="Q2" s="45"/>
      <c r="R2" s="42"/>
      <c r="S2" s="42"/>
      <c r="T2" s="42"/>
      <c r="U2" s="42"/>
      <c r="V2" s="42"/>
      <c r="W2" s="42"/>
      <c r="X2" s="44"/>
      <c r="Y2" s="42"/>
      <c r="Z2" s="42"/>
      <c r="AA2" s="42"/>
      <c r="AB2" s="42"/>
    </row>
    <row r="3" s="47" customFormat="1" ht="28" customHeight="1" spans="1:2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2" t="s">
        <v>12</v>
      </c>
      <c r="L3" s="11" t="s">
        <v>13</v>
      </c>
      <c r="M3" s="11" t="s">
        <v>14</v>
      </c>
      <c r="N3" s="11"/>
      <c r="O3" s="51"/>
      <c r="P3" s="51"/>
      <c r="Q3" s="11"/>
      <c r="R3" s="10"/>
      <c r="S3" s="10"/>
      <c r="T3" s="10"/>
      <c r="U3" s="10"/>
      <c r="V3" s="10"/>
      <c r="W3" s="10"/>
      <c r="X3" s="12" t="s">
        <v>10</v>
      </c>
      <c r="Y3" s="12" t="s">
        <v>15</v>
      </c>
      <c r="Z3" s="10" t="s">
        <v>16</v>
      </c>
      <c r="AA3" s="10" t="s">
        <v>15</v>
      </c>
      <c r="AB3" s="10" t="s">
        <v>17</v>
      </c>
    </row>
    <row r="4" s="47" customFormat="1" ht="28" customHeight="1" spans="1:28">
      <c r="A4" s="10"/>
      <c r="B4" s="10"/>
      <c r="C4" s="10"/>
      <c r="D4" s="10"/>
      <c r="E4" s="10"/>
      <c r="F4" s="10"/>
      <c r="G4" s="10"/>
      <c r="H4" s="10"/>
      <c r="I4" s="10"/>
      <c r="J4" s="10"/>
      <c r="K4" s="105"/>
      <c r="L4" s="11"/>
      <c r="M4" s="11" t="s">
        <v>18</v>
      </c>
      <c r="N4" s="11"/>
      <c r="O4" s="11"/>
      <c r="P4" s="11"/>
      <c r="Q4" s="11"/>
      <c r="R4" s="10"/>
      <c r="S4" s="10"/>
      <c r="T4" s="10"/>
      <c r="U4" s="10" t="s">
        <v>19</v>
      </c>
      <c r="V4" s="10" t="s">
        <v>20</v>
      </c>
      <c r="W4" s="162" t="s">
        <v>21</v>
      </c>
      <c r="X4" s="105"/>
      <c r="Y4" s="105"/>
      <c r="Z4" s="10"/>
      <c r="AA4" s="10"/>
      <c r="AB4" s="10"/>
    </row>
    <row r="5" s="47" customFormat="1" ht="35" customHeight="1" spans="1:28">
      <c r="A5" s="10"/>
      <c r="B5" s="10"/>
      <c r="C5" s="10"/>
      <c r="D5" s="10"/>
      <c r="E5" s="10"/>
      <c r="F5" s="10"/>
      <c r="G5" s="10"/>
      <c r="H5" s="10"/>
      <c r="I5" s="10"/>
      <c r="J5" s="10"/>
      <c r="K5" s="105"/>
      <c r="L5" s="11"/>
      <c r="M5" s="48" t="s">
        <v>22</v>
      </c>
      <c r="N5" s="49" t="s">
        <v>23</v>
      </c>
      <c r="O5" s="50"/>
      <c r="P5" s="48" t="s">
        <v>24</v>
      </c>
      <c r="Q5" s="48" t="s">
        <v>25</v>
      </c>
      <c r="R5" s="12" t="s">
        <v>26</v>
      </c>
      <c r="S5" s="12" t="s">
        <v>27</v>
      </c>
      <c r="T5" s="12" t="s">
        <v>28</v>
      </c>
      <c r="U5" s="10"/>
      <c r="V5" s="10"/>
      <c r="W5" s="162"/>
      <c r="X5" s="105"/>
      <c r="Y5" s="105"/>
      <c r="Z5" s="10"/>
      <c r="AA5" s="10"/>
      <c r="AB5" s="10"/>
    </row>
    <row r="6" s="47" customFormat="1" ht="35" customHeight="1" spans="1:28">
      <c r="A6" s="10"/>
      <c r="B6" s="10"/>
      <c r="C6" s="10"/>
      <c r="D6" s="10"/>
      <c r="E6" s="10"/>
      <c r="F6" s="10"/>
      <c r="G6" s="10"/>
      <c r="H6" s="10"/>
      <c r="I6" s="10"/>
      <c r="J6" s="10"/>
      <c r="K6" s="52"/>
      <c r="L6" s="11"/>
      <c r="M6" s="51"/>
      <c r="N6" s="11" t="s">
        <v>29</v>
      </c>
      <c r="O6" s="11" t="s">
        <v>30</v>
      </c>
      <c r="P6" s="51"/>
      <c r="Q6" s="51"/>
      <c r="R6" s="52"/>
      <c r="S6" s="52"/>
      <c r="T6" s="52"/>
      <c r="U6" s="10"/>
      <c r="V6" s="10"/>
      <c r="W6" s="162"/>
      <c r="X6" s="52"/>
      <c r="Y6" s="52"/>
      <c r="Z6" s="10"/>
      <c r="AA6" s="10"/>
      <c r="AB6" s="10"/>
    </row>
    <row r="7" s="156" customFormat="1" ht="43" customHeight="1" spans="1:28">
      <c r="A7" s="13" t="s">
        <v>31</v>
      </c>
      <c r="B7" s="13"/>
      <c r="C7" s="13"/>
      <c r="D7" s="13"/>
      <c r="E7" s="13"/>
      <c r="F7" s="13"/>
      <c r="G7" s="13"/>
      <c r="H7" s="13">
        <f t="shared" ref="H7:O7" si="0">SUM(H8,H22,H26)</f>
        <v>16</v>
      </c>
      <c r="I7" s="14"/>
      <c r="J7" s="14"/>
      <c r="K7" s="14">
        <f t="shared" si="0"/>
        <v>11007.46</v>
      </c>
      <c r="L7" s="14">
        <f t="shared" si="0"/>
        <v>10198.859719</v>
      </c>
      <c r="M7" s="14">
        <f t="shared" si="0"/>
        <v>10198.859719</v>
      </c>
      <c r="N7" s="14">
        <f t="shared" si="0"/>
        <v>4300</v>
      </c>
      <c r="O7" s="14">
        <f t="shared" si="0"/>
        <v>5898.859719</v>
      </c>
      <c r="P7" s="14" t="e">
        <f>SUM(P8,#REF!,P22,#REF!,#REF!)</f>
        <v>#REF!</v>
      </c>
      <c r="Q7" s="14" t="e">
        <f>SUM(Q8,#REF!,Q22,#REF!,#REF!)</f>
        <v>#REF!</v>
      </c>
      <c r="R7" s="14" t="e">
        <f>SUM(R8,#REF!,R22,#REF!,#REF!)</f>
        <v>#REF!</v>
      </c>
      <c r="S7" s="14" t="e">
        <f>SUM(S8,#REF!,S22,#REF!,#REF!)</f>
        <v>#REF!</v>
      </c>
      <c r="T7" s="14" t="e">
        <f>SUM(T8,#REF!,T22,#REF!,#REF!)</f>
        <v>#REF!</v>
      </c>
      <c r="U7" s="14" t="e">
        <f>SUM(U8,#REF!,U22,#REF!,#REF!)</f>
        <v>#REF!</v>
      </c>
      <c r="V7" s="14" t="e">
        <f>SUM(V8,#REF!,V22,#REF!,#REF!)</f>
        <v>#REF!</v>
      </c>
      <c r="W7" s="14" t="e">
        <f>SUM(W8,#REF!,W22,#REF!,#REF!)</f>
        <v>#REF!</v>
      </c>
      <c r="X7" s="163"/>
      <c r="Y7" s="14"/>
      <c r="Z7" s="15"/>
      <c r="AA7" s="15"/>
      <c r="AB7" s="15"/>
    </row>
    <row r="8" s="157" customFormat="1" ht="43" customHeight="1" spans="1:28">
      <c r="A8" s="164" t="s">
        <v>32</v>
      </c>
      <c r="B8" s="165" t="s">
        <v>33</v>
      </c>
      <c r="C8" s="166"/>
      <c r="D8" s="167"/>
      <c r="E8" s="164"/>
      <c r="F8" s="164"/>
      <c r="G8" s="164"/>
      <c r="H8" s="164">
        <f t="shared" ref="H8:W8" si="1">SUM(H9,H16)</f>
        <v>11</v>
      </c>
      <c r="I8" s="168"/>
      <c r="J8" s="168">
        <f>L8/L7</f>
        <v>0.530980900630623</v>
      </c>
      <c r="K8" s="169">
        <f t="shared" si="1"/>
        <v>6072</v>
      </c>
      <c r="L8" s="169">
        <f t="shared" si="1"/>
        <v>5415.399719</v>
      </c>
      <c r="M8" s="169">
        <f t="shared" si="1"/>
        <v>5415.399719</v>
      </c>
      <c r="N8" s="169">
        <f t="shared" si="1"/>
        <v>2022</v>
      </c>
      <c r="O8" s="169">
        <f t="shared" si="1"/>
        <v>3393.399719</v>
      </c>
      <c r="P8" s="169">
        <f t="shared" si="1"/>
        <v>0</v>
      </c>
      <c r="Q8" s="169">
        <f t="shared" si="1"/>
        <v>0</v>
      </c>
      <c r="R8" s="169">
        <f t="shared" si="1"/>
        <v>0</v>
      </c>
      <c r="S8" s="169">
        <f t="shared" si="1"/>
        <v>0</v>
      </c>
      <c r="T8" s="169">
        <f t="shared" si="1"/>
        <v>0</v>
      </c>
      <c r="U8" s="169">
        <f t="shared" si="1"/>
        <v>0</v>
      </c>
      <c r="V8" s="169">
        <f t="shared" si="1"/>
        <v>0</v>
      </c>
      <c r="W8" s="169">
        <f t="shared" si="1"/>
        <v>0</v>
      </c>
      <c r="X8" s="169"/>
      <c r="Y8" s="169"/>
      <c r="Z8" s="169"/>
      <c r="AA8" s="169"/>
      <c r="AB8" s="169"/>
    </row>
    <row r="9" s="157" customFormat="1" ht="43" customHeight="1" spans="1:28">
      <c r="A9" s="170" t="s">
        <v>34</v>
      </c>
      <c r="B9" s="170"/>
      <c r="C9" s="170"/>
      <c r="D9" s="167"/>
      <c r="E9" s="164"/>
      <c r="F9" s="164"/>
      <c r="G9" s="164"/>
      <c r="H9" s="164">
        <v>6</v>
      </c>
      <c r="I9" s="168"/>
      <c r="J9" s="168"/>
      <c r="K9" s="169">
        <f t="shared" ref="K9:W9" si="2">SUM(K10:K15)</f>
        <v>2305</v>
      </c>
      <c r="L9" s="169">
        <f t="shared" si="2"/>
        <v>2248.399719</v>
      </c>
      <c r="M9" s="169">
        <f t="shared" si="2"/>
        <v>2248.399719</v>
      </c>
      <c r="N9" s="169">
        <f t="shared" si="2"/>
        <v>1150</v>
      </c>
      <c r="O9" s="169">
        <f t="shared" si="2"/>
        <v>1098.399719</v>
      </c>
      <c r="P9" s="169">
        <f t="shared" si="2"/>
        <v>0</v>
      </c>
      <c r="Q9" s="169">
        <f t="shared" si="2"/>
        <v>0</v>
      </c>
      <c r="R9" s="169">
        <f t="shared" si="2"/>
        <v>0</v>
      </c>
      <c r="S9" s="169">
        <f t="shared" si="2"/>
        <v>0</v>
      </c>
      <c r="T9" s="169">
        <f t="shared" si="2"/>
        <v>0</v>
      </c>
      <c r="U9" s="169">
        <f t="shared" si="2"/>
        <v>0</v>
      </c>
      <c r="V9" s="169">
        <f t="shared" si="2"/>
        <v>0</v>
      </c>
      <c r="W9" s="169">
        <f t="shared" si="2"/>
        <v>0</v>
      </c>
      <c r="X9" s="170"/>
      <c r="Y9" s="164"/>
      <c r="Z9" s="171"/>
      <c r="AA9" s="171"/>
      <c r="AB9" s="171"/>
    </row>
    <row r="10" s="158" customFormat="1" ht="101" customHeight="1" spans="1:28">
      <c r="A10" s="16">
        <v>1</v>
      </c>
      <c r="B10" s="16" t="s">
        <v>46</v>
      </c>
      <c r="C10" s="16" t="s">
        <v>97</v>
      </c>
      <c r="D10" s="16" t="s">
        <v>33</v>
      </c>
      <c r="E10" s="16" t="s">
        <v>37</v>
      </c>
      <c r="F10" s="16" t="s">
        <v>38</v>
      </c>
      <c r="G10" s="16" t="s">
        <v>98</v>
      </c>
      <c r="H10" s="172" t="s">
        <v>99</v>
      </c>
      <c r="I10" s="16" t="s">
        <v>41</v>
      </c>
      <c r="J10" s="16">
        <v>2200</v>
      </c>
      <c r="K10" s="20">
        <v>390</v>
      </c>
      <c r="L10" s="20">
        <f t="shared" ref="L10:L15" si="3">SUM(M10,U10,V10,W10)</f>
        <v>390</v>
      </c>
      <c r="M10" s="20">
        <f t="shared" ref="M10:M15" si="4">SUM(N10:T10)</f>
        <v>390</v>
      </c>
      <c r="N10" s="20">
        <v>390</v>
      </c>
      <c r="O10" s="20"/>
      <c r="P10" s="20"/>
      <c r="Q10" s="20"/>
      <c r="R10" s="16"/>
      <c r="S10" s="16"/>
      <c r="T10" s="16"/>
      <c r="U10" s="16"/>
      <c r="V10" s="16"/>
      <c r="W10" s="16"/>
      <c r="X10" s="16" t="s">
        <v>48</v>
      </c>
      <c r="Y10" s="16" t="s">
        <v>50</v>
      </c>
      <c r="Z10" s="16" t="s">
        <v>44</v>
      </c>
      <c r="AA10" s="16" t="s">
        <v>45</v>
      </c>
      <c r="AB10" s="16"/>
    </row>
    <row r="11" s="158" customFormat="1" ht="101" customHeight="1" spans="1:28">
      <c r="A11" s="16">
        <v>2</v>
      </c>
      <c r="B11" s="16" t="s">
        <v>100</v>
      </c>
      <c r="C11" s="16" t="s">
        <v>101</v>
      </c>
      <c r="D11" s="16" t="s">
        <v>33</v>
      </c>
      <c r="E11" s="16" t="s">
        <v>37</v>
      </c>
      <c r="F11" s="16" t="s">
        <v>38</v>
      </c>
      <c r="G11" s="16" t="s">
        <v>102</v>
      </c>
      <c r="H11" s="172" t="s">
        <v>103</v>
      </c>
      <c r="I11" s="16" t="s">
        <v>41</v>
      </c>
      <c r="J11" s="16">
        <v>2200</v>
      </c>
      <c r="K11" s="20">
        <v>390</v>
      </c>
      <c r="L11" s="20">
        <f t="shared" si="3"/>
        <v>390</v>
      </c>
      <c r="M11" s="20">
        <f t="shared" si="4"/>
        <v>390</v>
      </c>
      <c r="N11" s="20">
        <v>390</v>
      </c>
      <c r="O11" s="20"/>
      <c r="P11" s="20"/>
      <c r="Q11" s="20"/>
      <c r="R11" s="16"/>
      <c r="S11" s="16"/>
      <c r="T11" s="16"/>
      <c r="U11" s="16"/>
      <c r="V11" s="16"/>
      <c r="W11" s="16"/>
      <c r="X11" s="16" t="s">
        <v>104</v>
      </c>
      <c r="Y11" s="16" t="s">
        <v>105</v>
      </c>
      <c r="Z11" s="16" t="s">
        <v>44</v>
      </c>
      <c r="AA11" s="16" t="s">
        <v>45</v>
      </c>
      <c r="AB11" s="16"/>
    </row>
    <row r="12" s="158" customFormat="1" ht="101" customHeight="1" spans="1:28">
      <c r="A12" s="16">
        <v>3</v>
      </c>
      <c r="B12" s="16" t="s">
        <v>51</v>
      </c>
      <c r="C12" s="16" t="s">
        <v>106</v>
      </c>
      <c r="D12" s="16" t="s">
        <v>33</v>
      </c>
      <c r="E12" s="16" t="s">
        <v>37</v>
      </c>
      <c r="F12" s="16" t="s">
        <v>38</v>
      </c>
      <c r="G12" s="16" t="s">
        <v>107</v>
      </c>
      <c r="H12" s="172" t="s">
        <v>282</v>
      </c>
      <c r="I12" s="16" t="s">
        <v>41</v>
      </c>
      <c r="J12" s="16">
        <v>2057</v>
      </c>
      <c r="K12" s="16">
        <v>370</v>
      </c>
      <c r="L12" s="20">
        <f t="shared" si="3"/>
        <v>370</v>
      </c>
      <c r="M12" s="20">
        <f t="shared" si="4"/>
        <v>370</v>
      </c>
      <c r="N12" s="20">
        <v>370</v>
      </c>
      <c r="O12" s="20"/>
      <c r="P12" s="20"/>
      <c r="Q12" s="20"/>
      <c r="R12" s="16"/>
      <c r="S12" s="16"/>
      <c r="T12" s="16"/>
      <c r="U12" s="16"/>
      <c r="V12" s="16"/>
      <c r="W12" s="16"/>
      <c r="X12" s="16" t="s">
        <v>53</v>
      </c>
      <c r="Y12" s="16" t="s">
        <v>55</v>
      </c>
      <c r="Z12" s="16" t="s">
        <v>44</v>
      </c>
      <c r="AA12" s="16" t="s">
        <v>45</v>
      </c>
      <c r="AB12" s="16"/>
    </row>
    <row r="13" s="158" customFormat="1" ht="101" customHeight="1" spans="1:28">
      <c r="A13" s="16">
        <v>4</v>
      </c>
      <c r="B13" s="16" t="s">
        <v>118</v>
      </c>
      <c r="C13" s="16" t="s">
        <v>119</v>
      </c>
      <c r="D13" s="16" t="s">
        <v>33</v>
      </c>
      <c r="E13" s="16" t="s">
        <v>37</v>
      </c>
      <c r="F13" s="16" t="s">
        <v>38</v>
      </c>
      <c r="G13" s="16" t="s">
        <v>94</v>
      </c>
      <c r="H13" s="172" t="s">
        <v>120</v>
      </c>
      <c r="I13" s="16" t="s">
        <v>41</v>
      </c>
      <c r="J13" s="16">
        <v>2750</v>
      </c>
      <c r="K13" s="16">
        <v>495</v>
      </c>
      <c r="L13" s="20">
        <f t="shared" si="3"/>
        <v>438.399719</v>
      </c>
      <c r="M13" s="20">
        <f t="shared" si="4"/>
        <v>438.399719</v>
      </c>
      <c r="N13" s="20"/>
      <c r="O13" s="20">
        <v>438.399719</v>
      </c>
      <c r="P13" s="20"/>
      <c r="Q13" s="20"/>
      <c r="R13" s="16"/>
      <c r="S13" s="16"/>
      <c r="T13" s="16"/>
      <c r="U13" s="16"/>
      <c r="V13" s="16"/>
      <c r="W13" s="16"/>
      <c r="X13" s="16" t="s">
        <v>94</v>
      </c>
      <c r="Y13" s="16" t="s">
        <v>96</v>
      </c>
      <c r="Z13" s="16" t="s">
        <v>44</v>
      </c>
      <c r="AA13" s="16" t="s">
        <v>45</v>
      </c>
      <c r="AB13" s="16"/>
    </row>
    <row r="14" s="158" customFormat="1" ht="101" customHeight="1" spans="1:28">
      <c r="A14" s="16">
        <v>5</v>
      </c>
      <c r="B14" s="16"/>
      <c r="C14" s="16" t="s">
        <v>121</v>
      </c>
      <c r="D14" s="16" t="s">
        <v>33</v>
      </c>
      <c r="E14" s="16" t="s">
        <v>37</v>
      </c>
      <c r="F14" s="16" t="s">
        <v>38</v>
      </c>
      <c r="G14" s="16" t="s">
        <v>122</v>
      </c>
      <c r="H14" s="172" t="s">
        <v>123</v>
      </c>
      <c r="I14" s="16" t="s">
        <v>41</v>
      </c>
      <c r="J14" s="16">
        <v>2000</v>
      </c>
      <c r="K14" s="20">
        <v>360</v>
      </c>
      <c r="L14" s="20">
        <f t="shared" si="3"/>
        <v>360</v>
      </c>
      <c r="M14" s="20">
        <f t="shared" si="4"/>
        <v>360</v>
      </c>
      <c r="N14" s="20"/>
      <c r="O14" s="20">
        <v>360</v>
      </c>
      <c r="P14" s="20"/>
      <c r="Q14" s="20"/>
      <c r="R14" s="16"/>
      <c r="S14" s="16"/>
      <c r="T14" s="16"/>
      <c r="U14" s="16"/>
      <c r="V14" s="16"/>
      <c r="W14" s="16"/>
      <c r="X14" s="16" t="s">
        <v>58</v>
      </c>
      <c r="Y14" s="16" t="s">
        <v>60</v>
      </c>
      <c r="Z14" s="16" t="s">
        <v>44</v>
      </c>
      <c r="AA14" s="16" t="s">
        <v>45</v>
      </c>
      <c r="AB14" s="16"/>
    </row>
    <row r="15" s="158" customFormat="1" ht="101" customHeight="1" spans="1:28">
      <c r="A15" s="16">
        <v>6</v>
      </c>
      <c r="B15" s="16"/>
      <c r="C15" s="16" t="s">
        <v>124</v>
      </c>
      <c r="D15" s="16" t="s">
        <v>33</v>
      </c>
      <c r="E15" s="16" t="s">
        <v>37</v>
      </c>
      <c r="F15" s="16" t="s">
        <v>38</v>
      </c>
      <c r="G15" s="16" t="s">
        <v>122</v>
      </c>
      <c r="H15" s="172" t="s">
        <v>125</v>
      </c>
      <c r="I15" s="16" t="s">
        <v>41</v>
      </c>
      <c r="J15" s="16">
        <v>2000</v>
      </c>
      <c r="K15" s="20">
        <v>300</v>
      </c>
      <c r="L15" s="20">
        <f t="shared" si="3"/>
        <v>300</v>
      </c>
      <c r="M15" s="20">
        <f t="shared" si="4"/>
        <v>300</v>
      </c>
      <c r="N15" s="20"/>
      <c r="O15" s="20">
        <v>300</v>
      </c>
      <c r="P15" s="20"/>
      <c r="Q15" s="20"/>
      <c r="R15" s="16"/>
      <c r="S15" s="16"/>
      <c r="T15" s="16"/>
      <c r="U15" s="16"/>
      <c r="V15" s="16"/>
      <c r="W15" s="16"/>
      <c r="X15" s="16" t="s">
        <v>58</v>
      </c>
      <c r="Y15" s="16" t="s">
        <v>60</v>
      </c>
      <c r="Z15" s="16" t="s">
        <v>44</v>
      </c>
      <c r="AA15" s="16" t="s">
        <v>45</v>
      </c>
      <c r="AB15" s="16"/>
    </row>
    <row r="16" s="157" customFormat="1" ht="43" customHeight="1" spans="1:28">
      <c r="A16" s="170" t="s">
        <v>135</v>
      </c>
      <c r="B16" s="170"/>
      <c r="C16" s="170"/>
      <c r="D16" s="167"/>
      <c r="E16" s="164"/>
      <c r="F16" s="164"/>
      <c r="G16" s="164"/>
      <c r="H16" s="164">
        <v>5</v>
      </c>
      <c r="I16" s="168"/>
      <c r="J16" s="168"/>
      <c r="K16" s="169">
        <f t="shared" ref="K16:W16" si="5">SUM(K17:K21)</f>
        <v>3767</v>
      </c>
      <c r="L16" s="169">
        <f t="shared" si="5"/>
        <v>3167</v>
      </c>
      <c r="M16" s="169">
        <f t="shared" si="5"/>
        <v>3167</v>
      </c>
      <c r="N16" s="169">
        <f t="shared" si="5"/>
        <v>872</v>
      </c>
      <c r="O16" s="169">
        <f t="shared" si="5"/>
        <v>2295</v>
      </c>
      <c r="P16" s="169">
        <f t="shared" si="5"/>
        <v>0</v>
      </c>
      <c r="Q16" s="169">
        <f t="shared" si="5"/>
        <v>0</v>
      </c>
      <c r="R16" s="169">
        <f t="shared" si="5"/>
        <v>0</v>
      </c>
      <c r="S16" s="169">
        <f t="shared" si="5"/>
        <v>0</v>
      </c>
      <c r="T16" s="169">
        <f t="shared" si="5"/>
        <v>0</v>
      </c>
      <c r="U16" s="169">
        <f t="shared" si="5"/>
        <v>0</v>
      </c>
      <c r="V16" s="169">
        <f t="shared" si="5"/>
        <v>0</v>
      </c>
      <c r="W16" s="169">
        <f t="shared" si="5"/>
        <v>0</v>
      </c>
      <c r="X16" s="170"/>
      <c r="Y16" s="173"/>
      <c r="Z16" s="171"/>
      <c r="AA16" s="171"/>
      <c r="AB16" s="171"/>
    </row>
    <row r="17" s="158" customFormat="1" ht="96" customHeight="1" spans="1:28">
      <c r="A17" s="16">
        <v>7</v>
      </c>
      <c r="B17" s="16" t="s">
        <v>136</v>
      </c>
      <c r="C17" s="16" t="s">
        <v>137</v>
      </c>
      <c r="D17" s="16" t="s">
        <v>33</v>
      </c>
      <c r="E17" s="16" t="s">
        <v>138</v>
      </c>
      <c r="F17" s="174" t="s">
        <v>38</v>
      </c>
      <c r="G17" s="15" t="s">
        <v>139</v>
      </c>
      <c r="H17" s="19" t="s">
        <v>140</v>
      </c>
      <c r="I17" s="15" t="s">
        <v>141</v>
      </c>
      <c r="J17" s="15">
        <v>1</v>
      </c>
      <c r="K17" s="175">
        <f>SUM(L17,T17:V17)</f>
        <v>395</v>
      </c>
      <c r="L17" s="20">
        <f t="shared" ref="L17:L21" si="6">SUM(M17,U17,V17,W17)</f>
        <v>395</v>
      </c>
      <c r="M17" s="175">
        <f t="shared" ref="M17:M21" si="7">SUM(N17:T17)</f>
        <v>395</v>
      </c>
      <c r="N17" s="175"/>
      <c r="O17" s="175">
        <v>395</v>
      </c>
      <c r="P17" s="175"/>
      <c r="Q17" s="15"/>
      <c r="R17" s="15"/>
      <c r="S17" s="15"/>
      <c r="T17" s="15"/>
      <c r="U17" s="174"/>
      <c r="V17" s="174"/>
      <c r="W17" s="15"/>
      <c r="X17" s="15" t="s">
        <v>142</v>
      </c>
      <c r="Y17" s="16" t="s">
        <v>143</v>
      </c>
      <c r="Z17" s="16" t="s">
        <v>144</v>
      </c>
      <c r="AA17" s="16" t="s">
        <v>145</v>
      </c>
      <c r="AB17" s="16"/>
    </row>
    <row r="18" s="158" customFormat="1" ht="121" customHeight="1" spans="1:28">
      <c r="A18" s="16">
        <v>8</v>
      </c>
      <c r="B18" s="16"/>
      <c r="C18" s="16" t="s">
        <v>153</v>
      </c>
      <c r="D18" s="16" t="s">
        <v>33</v>
      </c>
      <c r="E18" s="16" t="s">
        <v>138</v>
      </c>
      <c r="F18" s="174" t="s">
        <v>38</v>
      </c>
      <c r="G18" s="15" t="s">
        <v>154</v>
      </c>
      <c r="H18" s="19" t="s">
        <v>155</v>
      </c>
      <c r="I18" s="15" t="s">
        <v>156</v>
      </c>
      <c r="J18" s="15">
        <v>5</v>
      </c>
      <c r="K18" s="175">
        <v>2500</v>
      </c>
      <c r="L18" s="20">
        <f t="shared" si="6"/>
        <v>1900</v>
      </c>
      <c r="M18" s="175">
        <f t="shared" si="7"/>
        <v>1900</v>
      </c>
      <c r="N18" s="175"/>
      <c r="O18" s="175">
        <v>1900</v>
      </c>
      <c r="P18" s="175"/>
      <c r="Q18" s="15"/>
      <c r="R18" s="15"/>
      <c r="S18" s="15"/>
      <c r="T18" s="15"/>
      <c r="U18" s="174"/>
      <c r="V18" s="174"/>
      <c r="W18" s="15"/>
      <c r="X18" s="15" t="s">
        <v>63</v>
      </c>
      <c r="Y18" s="16" t="s">
        <v>65</v>
      </c>
      <c r="Z18" s="16" t="s">
        <v>144</v>
      </c>
      <c r="AA18" s="16" t="s">
        <v>145</v>
      </c>
      <c r="AB18" s="16">
        <v>500</v>
      </c>
    </row>
    <row r="19" s="158" customFormat="1" ht="109" customHeight="1" spans="1:28">
      <c r="A19" s="16">
        <v>9</v>
      </c>
      <c r="B19" s="16" t="s">
        <v>202</v>
      </c>
      <c r="C19" s="16" t="s">
        <v>203</v>
      </c>
      <c r="D19" s="16" t="s">
        <v>33</v>
      </c>
      <c r="E19" s="16" t="s">
        <v>37</v>
      </c>
      <c r="F19" s="16" t="s">
        <v>38</v>
      </c>
      <c r="G19" s="16" t="s">
        <v>204</v>
      </c>
      <c r="H19" s="172" t="s">
        <v>283</v>
      </c>
      <c r="I19" s="16" t="s">
        <v>160</v>
      </c>
      <c r="J19" s="16">
        <v>5</v>
      </c>
      <c r="K19" s="20">
        <v>375</v>
      </c>
      <c r="L19" s="20">
        <f t="shared" si="6"/>
        <v>375</v>
      </c>
      <c r="M19" s="175">
        <f t="shared" si="7"/>
        <v>375</v>
      </c>
      <c r="N19" s="20">
        <v>375</v>
      </c>
      <c r="O19" s="20"/>
      <c r="P19" s="20"/>
      <c r="Q19" s="20"/>
      <c r="R19" s="16"/>
      <c r="S19" s="16"/>
      <c r="T19" s="16"/>
      <c r="U19" s="16"/>
      <c r="V19" s="16"/>
      <c r="W19" s="16"/>
      <c r="X19" s="16" t="s">
        <v>53</v>
      </c>
      <c r="Y19" s="16" t="s">
        <v>55</v>
      </c>
      <c r="Z19" s="16" t="s">
        <v>161</v>
      </c>
      <c r="AA19" s="16" t="s">
        <v>162</v>
      </c>
      <c r="AB19" s="16"/>
    </row>
    <row r="20" s="158" customFormat="1" ht="109" customHeight="1" spans="1:28">
      <c r="A20" s="16">
        <v>10</v>
      </c>
      <c r="B20" s="16" t="s">
        <v>206</v>
      </c>
      <c r="C20" s="16" t="s">
        <v>207</v>
      </c>
      <c r="D20" s="16" t="s">
        <v>33</v>
      </c>
      <c r="E20" s="16" t="s">
        <v>37</v>
      </c>
      <c r="F20" s="16" t="s">
        <v>38</v>
      </c>
      <c r="G20" s="16" t="s">
        <v>208</v>
      </c>
      <c r="H20" s="172" t="s">
        <v>209</v>
      </c>
      <c r="I20" s="16" t="s">
        <v>160</v>
      </c>
      <c r="J20" s="16">
        <v>3.9</v>
      </c>
      <c r="K20" s="20">
        <v>290</v>
      </c>
      <c r="L20" s="20">
        <f t="shared" si="6"/>
        <v>290</v>
      </c>
      <c r="M20" s="175">
        <f t="shared" si="7"/>
        <v>290</v>
      </c>
      <c r="N20" s="20">
        <v>290</v>
      </c>
      <c r="O20" s="20"/>
      <c r="P20" s="20"/>
      <c r="Q20" s="20"/>
      <c r="R20" s="16"/>
      <c r="S20" s="16"/>
      <c r="T20" s="16"/>
      <c r="U20" s="16"/>
      <c r="V20" s="16"/>
      <c r="W20" s="16"/>
      <c r="X20" s="16" t="s">
        <v>48</v>
      </c>
      <c r="Y20" s="16" t="s">
        <v>50</v>
      </c>
      <c r="Z20" s="16" t="s">
        <v>161</v>
      </c>
      <c r="AA20" s="16" t="s">
        <v>162</v>
      </c>
      <c r="AB20" s="16"/>
    </row>
    <row r="21" s="158" customFormat="1" ht="232" customHeight="1" spans="1:28">
      <c r="A21" s="16">
        <v>11</v>
      </c>
      <c r="B21" s="16"/>
      <c r="C21" s="16" t="s">
        <v>210</v>
      </c>
      <c r="D21" s="16" t="s">
        <v>33</v>
      </c>
      <c r="E21" s="16" t="s">
        <v>211</v>
      </c>
      <c r="F21" s="16" t="s">
        <v>38</v>
      </c>
      <c r="G21" s="16" t="s">
        <v>212</v>
      </c>
      <c r="H21" s="172" t="s">
        <v>213</v>
      </c>
      <c r="I21" s="16" t="s">
        <v>41</v>
      </c>
      <c r="J21" s="16">
        <v>300</v>
      </c>
      <c r="K21" s="20">
        <f>SUM(L21,T21,U21,V21)</f>
        <v>207</v>
      </c>
      <c r="L21" s="20">
        <f t="shared" si="6"/>
        <v>207</v>
      </c>
      <c r="M21" s="175">
        <f t="shared" si="7"/>
        <v>207</v>
      </c>
      <c r="N21" s="16">
        <v>207</v>
      </c>
      <c r="O21" s="20"/>
      <c r="P21" s="20"/>
      <c r="Q21" s="20"/>
      <c r="R21" s="16"/>
      <c r="S21" s="16"/>
      <c r="T21" s="16"/>
      <c r="U21" s="16"/>
      <c r="V21" s="16"/>
      <c r="W21" s="16"/>
      <c r="X21" s="16" t="s">
        <v>88</v>
      </c>
      <c r="Y21" s="16" t="s">
        <v>89</v>
      </c>
      <c r="Z21" s="16" t="s">
        <v>161</v>
      </c>
      <c r="AA21" s="16" t="s">
        <v>162</v>
      </c>
      <c r="AB21" s="16"/>
    </row>
    <row r="22" s="157" customFormat="1" ht="43" customHeight="1" spans="1:28">
      <c r="A22" s="164" t="s">
        <v>214</v>
      </c>
      <c r="B22" s="164" t="s">
        <v>233</v>
      </c>
      <c r="C22" s="164"/>
      <c r="D22" s="167"/>
      <c r="E22" s="164"/>
      <c r="F22" s="164"/>
      <c r="G22" s="164"/>
      <c r="H22" s="164">
        <v>3</v>
      </c>
      <c r="I22" s="168"/>
      <c r="J22" s="168">
        <f>K22/L7</f>
        <v>0.29958839362285</v>
      </c>
      <c r="K22" s="169">
        <f t="shared" ref="K22:W22" si="8">SUM(K23:K25)</f>
        <v>3055.46</v>
      </c>
      <c r="L22" s="169">
        <f t="shared" si="8"/>
        <v>2903.46</v>
      </c>
      <c r="M22" s="169">
        <f t="shared" si="8"/>
        <v>2903.46</v>
      </c>
      <c r="N22" s="169">
        <f t="shared" si="8"/>
        <v>398</v>
      </c>
      <c r="O22" s="169">
        <f t="shared" si="8"/>
        <v>2505.46</v>
      </c>
      <c r="P22" s="169">
        <f t="shared" si="8"/>
        <v>0</v>
      </c>
      <c r="Q22" s="169">
        <f t="shared" si="8"/>
        <v>0</v>
      </c>
      <c r="R22" s="169">
        <f t="shared" si="8"/>
        <v>0</v>
      </c>
      <c r="S22" s="169">
        <f t="shared" si="8"/>
        <v>0</v>
      </c>
      <c r="T22" s="169">
        <f t="shared" si="8"/>
        <v>0</v>
      </c>
      <c r="U22" s="169">
        <f t="shared" si="8"/>
        <v>0</v>
      </c>
      <c r="V22" s="169">
        <f t="shared" si="8"/>
        <v>0</v>
      </c>
      <c r="W22" s="169">
        <f t="shared" si="8"/>
        <v>0</v>
      </c>
      <c r="X22" s="170"/>
      <c r="Y22" s="173"/>
      <c r="Z22" s="169"/>
      <c r="AA22" s="169"/>
      <c r="AB22" s="169"/>
    </row>
    <row r="23" s="159" customFormat="1" ht="171" customHeight="1" spans="1:28">
      <c r="A23" s="16">
        <v>12</v>
      </c>
      <c r="B23" s="16" t="s">
        <v>234</v>
      </c>
      <c r="C23" s="17" t="s">
        <v>235</v>
      </c>
      <c r="D23" s="16" t="s">
        <v>236</v>
      </c>
      <c r="E23" s="16" t="s">
        <v>237</v>
      </c>
      <c r="F23" s="15" t="s">
        <v>38</v>
      </c>
      <c r="G23" s="16" t="s">
        <v>238</v>
      </c>
      <c r="H23" s="172" t="s">
        <v>239</v>
      </c>
      <c r="I23" s="16" t="s">
        <v>160</v>
      </c>
      <c r="J23" s="15">
        <v>6.4</v>
      </c>
      <c r="K23" s="175">
        <v>1475.46</v>
      </c>
      <c r="L23" s="175">
        <v>1375.46</v>
      </c>
      <c r="M23" s="175">
        <v>1375.46</v>
      </c>
      <c r="N23" s="20"/>
      <c r="O23" s="175">
        <v>1375.46</v>
      </c>
      <c r="P23" s="175"/>
      <c r="Q23" s="175"/>
      <c r="R23" s="15"/>
      <c r="S23" s="15"/>
      <c r="T23" s="15"/>
      <c r="U23" s="15"/>
      <c r="V23" s="15"/>
      <c r="W23" s="15"/>
      <c r="X23" s="15" t="s">
        <v>53</v>
      </c>
      <c r="Y23" s="16" t="s">
        <v>55</v>
      </c>
      <c r="Z23" s="15" t="s">
        <v>240</v>
      </c>
      <c r="AA23" s="16" t="s">
        <v>241</v>
      </c>
      <c r="AB23" s="16"/>
    </row>
    <row r="24" s="159" customFormat="1" ht="163" customHeight="1" spans="1:28">
      <c r="A24" s="16">
        <v>13</v>
      </c>
      <c r="B24" s="16" t="s">
        <v>242</v>
      </c>
      <c r="C24" s="17" t="s">
        <v>243</v>
      </c>
      <c r="D24" s="16" t="s">
        <v>236</v>
      </c>
      <c r="E24" s="16" t="s">
        <v>237</v>
      </c>
      <c r="F24" s="15" t="s">
        <v>38</v>
      </c>
      <c r="G24" s="16" t="s">
        <v>244</v>
      </c>
      <c r="H24" s="172" t="s">
        <v>245</v>
      </c>
      <c r="I24" s="16" t="s">
        <v>160</v>
      </c>
      <c r="J24" s="15">
        <v>8.8</v>
      </c>
      <c r="K24" s="20">
        <v>1200</v>
      </c>
      <c r="L24" s="175">
        <v>1130</v>
      </c>
      <c r="M24" s="175">
        <v>1130</v>
      </c>
      <c r="N24" s="20"/>
      <c r="O24" s="175">
        <v>1130</v>
      </c>
      <c r="P24" s="175"/>
      <c r="Q24" s="175"/>
      <c r="R24" s="15"/>
      <c r="S24" s="15"/>
      <c r="T24" s="15"/>
      <c r="U24" s="15"/>
      <c r="V24" s="15"/>
      <c r="W24" s="15"/>
      <c r="X24" s="15" t="s">
        <v>190</v>
      </c>
      <c r="Y24" s="16" t="s">
        <v>191</v>
      </c>
      <c r="Z24" s="15" t="s">
        <v>240</v>
      </c>
      <c r="AA24" s="16" t="s">
        <v>241</v>
      </c>
      <c r="AB24" s="16"/>
    </row>
    <row r="25" s="158" customFormat="1" ht="109" customHeight="1" spans="1:28">
      <c r="A25" s="16">
        <v>14</v>
      </c>
      <c r="B25" s="16"/>
      <c r="C25" s="17" t="s">
        <v>250</v>
      </c>
      <c r="D25" s="16" t="s">
        <v>236</v>
      </c>
      <c r="E25" s="16" t="s">
        <v>237</v>
      </c>
      <c r="F25" s="15" t="s">
        <v>38</v>
      </c>
      <c r="G25" s="16" t="s">
        <v>251</v>
      </c>
      <c r="H25" s="172" t="s">
        <v>252</v>
      </c>
      <c r="I25" s="16" t="s">
        <v>160</v>
      </c>
      <c r="J25" s="16">
        <v>5</v>
      </c>
      <c r="K25" s="16">
        <v>380</v>
      </c>
      <c r="L25" s="20">
        <v>398</v>
      </c>
      <c r="M25" s="20">
        <v>398</v>
      </c>
      <c r="N25" s="20">
        <v>398</v>
      </c>
      <c r="O25" s="20"/>
      <c r="P25" s="20"/>
      <c r="Q25" s="20"/>
      <c r="R25" s="16"/>
      <c r="S25" s="16"/>
      <c r="T25" s="16"/>
      <c r="U25" s="16"/>
      <c r="V25" s="16"/>
      <c r="W25" s="16"/>
      <c r="X25" s="16" t="s">
        <v>94</v>
      </c>
      <c r="Y25" s="16" t="s">
        <v>96</v>
      </c>
      <c r="Z25" s="16" t="s">
        <v>161</v>
      </c>
      <c r="AA25" s="16" t="s">
        <v>162</v>
      </c>
      <c r="AB25" s="16"/>
    </row>
    <row r="26" s="157" customFormat="1" ht="43" customHeight="1" spans="1:28">
      <c r="A26" s="164" t="s">
        <v>232</v>
      </c>
      <c r="B26" s="164" t="s">
        <v>284</v>
      </c>
      <c r="C26" s="164"/>
      <c r="D26" s="167"/>
      <c r="E26" s="164"/>
      <c r="F26" s="164"/>
      <c r="G26" s="164"/>
      <c r="H26" s="164">
        <v>2</v>
      </c>
      <c r="I26" s="168"/>
      <c r="J26" s="168"/>
      <c r="K26" s="169">
        <f t="shared" ref="K26:O26" si="9">SUM(K27:K28)</f>
        <v>1880</v>
      </c>
      <c r="L26" s="169">
        <f t="shared" si="9"/>
        <v>1880</v>
      </c>
      <c r="M26" s="169">
        <f t="shared" si="9"/>
        <v>1880</v>
      </c>
      <c r="N26" s="169">
        <f t="shared" si="9"/>
        <v>1880</v>
      </c>
      <c r="O26" s="169">
        <f t="shared" si="9"/>
        <v>0</v>
      </c>
      <c r="P26" s="169"/>
      <c r="Q26" s="169"/>
      <c r="R26" s="169"/>
      <c r="S26" s="169"/>
      <c r="T26" s="169"/>
      <c r="U26" s="169"/>
      <c r="V26" s="169"/>
      <c r="W26" s="169"/>
      <c r="X26" s="170"/>
      <c r="Y26" s="173"/>
      <c r="Z26" s="169"/>
      <c r="AA26" s="169"/>
      <c r="AB26" s="169"/>
    </row>
    <row r="27" s="158" customFormat="1" ht="109" customHeight="1" spans="1:28">
      <c r="A27" s="16">
        <v>15</v>
      </c>
      <c r="B27" s="16" t="s">
        <v>157</v>
      </c>
      <c r="C27" s="16" t="s">
        <v>158</v>
      </c>
      <c r="D27" s="16" t="s">
        <v>33</v>
      </c>
      <c r="E27" s="16" t="s">
        <v>37</v>
      </c>
      <c r="F27" s="16" t="s">
        <v>38</v>
      </c>
      <c r="G27" s="16" t="s">
        <v>58</v>
      </c>
      <c r="H27" s="172" t="s">
        <v>159</v>
      </c>
      <c r="I27" s="16" t="s">
        <v>160</v>
      </c>
      <c r="J27" s="16">
        <v>6.5</v>
      </c>
      <c r="K27" s="16">
        <v>1500</v>
      </c>
      <c r="L27" s="20">
        <f>SUM(M27,U27,V27,W27)</f>
        <v>1500</v>
      </c>
      <c r="M27" s="175">
        <f>SUM(N27:T27)</f>
        <v>1500</v>
      </c>
      <c r="N27" s="20">
        <v>1500</v>
      </c>
      <c r="O27" s="20"/>
      <c r="P27" s="20"/>
      <c r="Q27" s="20"/>
      <c r="R27" s="16"/>
      <c r="S27" s="16"/>
      <c r="T27" s="16"/>
      <c r="U27" s="16"/>
      <c r="V27" s="16"/>
      <c r="W27" s="16"/>
      <c r="X27" s="16" t="s">
        <v>161</v>
      </c>
      <c r="Y27" s="16" t="s">
        <v>162</v>
      </c>
      <c r="Z27" s="16" t="s">
        <v>161</v>
      </c>
      <c r="AA27" s="16" t="s">
        <v>162</v>
      </c>
      <c r="AB27" s="16"/>
    </row>
    <row r="28" s="158" customFormat="1" ht="125" customHeight="1" spans="1:28">
      <c r="A28" s="16">
        <v>16</v>
      </c>
      <c r="B28" s="16"/>
      <c r="C28" s="16" t="s">
        <v>182</v>
      </c>
      <c r="D28" s="16" t="s">
        <v>33</v>
      </c>
      <c r="E28" s="16" t="s">
        <v>37</v>
      </c>
      <c r="F28" s="16" t="s">
        <v>38</v>
      </c>
      <c r="G28" s="16" t="s">
        <v>285</v>
      </c>
      <c r="H28" s="19" t="s">
        <v>183</v>
      </c>
      <c r="I28" s="15" t="s">
        <v>41</v>
      </c>
      <c r="J28" s="15">
        <v>110</v>
      </c>
      <c r="K28" s="175">
        <v>380</v>
      </c>
      <c r="L28" s="20">
        <f>SUM(M28,U28,V28,W28)</f>
        <v>380</v>
      </c>
      <c r="M28" s="175">
        <f>SUM(N28:T28)</f>
        <v>380</v>
      </c>
      <c r="N28" s="175">
        <v>380</v>
      </c>
      <c r="O28" s="175"/>
      <c r="P28" s="175"/>
      <c r="Q28" s="15"/>
      <c r="R28" s="15"/>
      <c r="S28" s="15"/>
      <c r="T28" s="15"/>
      <c r="U28" s="174"/>
      <c r="V28" s="174"/>
      <c r="W28" s="15"/>
      <c r="X28" s="16" t="s">
        <v>151</v>
      </c>
      <c r="Y28" s="16" t="s">
        <v>152</v>
      </c>
      <c r="Z28" s="16" t="s">
        <v>166</v>
      </c>
      <c r="AA28" s="16" t="s">
        <v>167</v>
      </c>
      <c r="AB28" s="16"/>
    </row>
  </sheetData>
  <autoFilter xmlns:etc="http://www.wps.cn/officeDocument/2017/etCustomData" ref="A9:AB28" etc:filterBottomFollowUsedRange="0">
    <extLst/>
  </autoFilter>
  <mergeCells count="37">
    <mergeCell ref="A1:AB1"/>
    <mergeCell ref="A2:D2"/>
    <mergeCell ref="M3:W3"/>
    <mergeCell ref="M4:T4"/>
    <mergeCell ref="N5:O5"/>
    <mergeCell ref="A7:F7"/>
    <mergeCell ref="B8:C8"/>
    <mergeCell ref="A9:C9"/>
    <mergeCell ref="A16:C16"/>
    <mergeCell ref="B22:C22"/>
    <mergeCell ref="B26:C26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5:M6"/>
    <mergeCell ref="P5:P6"/>
    <mergeCell ref="Q5:Q6"/>
    <mergeCell ref="R5:R6"/>
    <mergeCell ref="S5:S6"/>
    <mergeCell ref="T5:T6"/>
    <mergeCell ref="U4:U6"/>
    <mergeCell ref="V4:V6"/>
    <mergeCell ref="W4:W6"/>
    <mergeCell ref="X3:X6"/>
    <mergeCell ref="Y3:Y6"/>
    <mergeCell ref="Z3:Z6"/>
    <mergeCell ref="AA3:AA6"/>
    <mergeCell ref="AB3:AB6"/>
  </mergeCells>
  <dataValidations count="4">
    <dataValidation type="list" allowBlank="1" showErrorMessage="1" sqref="E26 E4:E12 E21:E22 E29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D13:D16">
      <formula1>下拉列表!$A$1:$G$1</formula1>
    </dataValidation>
    <dataValidation type="list" allowBlank="1" showInputMessage="1" showErrorMessage="1" sqref="E13:E20 E27:E28">
      <formula1>INDIRECT(D13)</formula1>
    </dataValidation>
    <dataValidation type="list" allowBlank="1" showInputMessage="1" showErrorMessage="1" sqref="F13:F15 F23:F25">
      <formula1>"新建,改建,扩建"</formula1>
    </dataValidation>
  </dataValidations>
  <pageMargins left="0.393055555555556" right="0.393055555555556" top="0.590277777777778" bottom="0.590277777777778" header="0.298611111111111" footer="0.298611111111111"/>
  <pageSetup paperSize="8" scale="49" fitToHeight="0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tabSelected="1" zoomScale="85" zoomScaleNormal="85" workbookViewId="0">
      <pane ySplit="6" topLeftCell="A7" activePane="bottomLeft" state="frozen"/>
      <selection/>
      <selection pane="bottomLeft" activeCell="D7" sqref="D7"/>
    </sheetView>
  </sheetViews>
  <sheetFormatPr defaultColWidth="9" defaultRowHeight="17.5"/>
  <cols>
    <col min="1" max="1" width="7.96153846153846" style="29" customWidth="1"/>
    <col min="2" max="2" width="23.7076923076923" style="30" customWidth="1"/>
    <col min="3" max="3" width="38.1846153846154" style="31" customWidth="1"/>
    <col min="4" max="4" width="25.9692307692308" style="30" customWidth="1"/>
    <col min="5" max="5" width="37.2769230769231" style="31" customWidth="1"/>
    <col min="6" max="6" width="13.6615384615385" style="30" customWidth="1"/>
    <col min="7" max="7" width="13.0307692307692" style="145" customWidth="1"/>
    <col min="8" max="8" width="13.0307692307692" style="146" customWidth="1"/>
    <col min="9" max="9" width="13.0307692307692" style="33" customWidth="1"/>
    <col min="10" max="10" width="13.0307692307692" style="34" customWidth="1"/>
    <col min="11" max="11" width="11.4923076923077" style="33" customWidth="1"/>
    <col min="12" max="12" width="10.3769230769231" style="35"/>
    <col min="13" max="16384" width="9" style="35"/>
  </cols>
  <sheetData>
    <row r="1" s="41" customFormat="1" ht="105" customHeight="1" spans="1:11">
      <c r="A1" s="147" t="s">
        <v>286</v>
      </c>
      <c r="B1" s="147"/>
      <c r="C1" s="147"/>
      <c r="D1" s="147"/>
      <c r="E1" s="147"/>
      <c r="F1" s="147"/>
      <c r="G1" s="148"/>
      <c r="H1" s="147"/>
      <c r="I1" s="147"/>
      <c r="J1" s="147"/>
      <c r="K1" s="147"/>
    </row>
    <row r="2" s="46" customFormat="1" ht="38" customHeight="1" spans="1:11">
      <c r="A2" s="149" t="s">
        <v>1</v>
      </c>
      <c r="B2" s="149"/>
      <c r="C2" s="149"/>
      <c r="D2" s="42"/>
      <c r="E2" s="44"/>
      <c r="F2" s="42"/>
      <c r="G2" s="44"/>
      <c r="H2" s="42"/>
      <c r="I2" s="42"/>
      <c r="J2" s="42"/>
      <c r="K2" s="42"/>
    </row>
    <row r="3" s="47" customFormat="1" ht="34" customHeight="1" spans="1:11">
      <c r="A3" s="10" t="s">
        <v>2</v>
      </c>
      <c r="B3" s="10" t="s">
        <v>287</v>
      </c>
      <c r="C3" s="10" t="s">
        <v>288</v>
      </c>
      <c r="D3" s="12" t="s">
        <v>289</v>
      </c>
      <c r="E3" s="12" t="s">
        <v>290</v>
      </c>
      <c r="F3" s="12" t="s">
        <v>291</v>
      </c>
      <c r="G3" s="10" t="s">
        <v>10</v>
      </c>
      <c r="H3" s="10" t="s">
        <v>15</v>
      </c>
      <c r="I3" s="10" t="s">
        <v>16</v>
      </c>
      <c r="J3" s="10" t="s">
        <v>15</v>
      </c>
      <c r="K3" s="10" t="s">
        <v>17</v>
      </c>
    </row>
    <row r="4" s="47" customFormat="1" ht="34" customHeight="1" spans="1:11">
      <c r="A4" s="10"/>
      <c r="B4" s="10"/>
      <c r="C4" s="10"/>
      <c r="D4" s="105"/>
      <c r="E4" s="105"/>
      <c r="F4" s="105"/>
      <c r="G4" s="10"/>
      <c r="H4" s="10"/>
      <c r="I4" s="10"/>
      <c r="J4" s="10"/>
      <c r="K4" s="10"/>
    </row>
    <row r="5" s="47" customFormat="1" ht="35" customHeight="1" spans="1:11">
      <c r="A5" s="10"/>
      <c r="B5" s="10"/>
      <c r="C5" s="10"/>
      <c r="D5" s="105"/>
      <c r="E5" s="105"/>
      <c r="F5" s="105"/>
      <c r="G5" s="10"/>
      <c r="H5" s="10"/>
      <c r="I5" s="10"/>
      <c r="J5" s="10"/>
      <c r="K5" s="10"/>
    </row>
    <row r="6" s="47" customFormat="1" ht="35" customHeight="1" spans="1:11">
      <c r="A6" s="10"/>
      <c r="B6" s="10"/>
      <c r="C6" s="10"/>
      <c r="D6" s="52"/>
      <c r="E6" s="52"/>
      <c r="F6" s="52"/>
      <c r="G6" s="10"/>
      <c r="H6" s="10"/>
      <c r="I6" s="10"/>
      <c r="J6" s="10"/>
      <c r="K6" s="10"/>
    </row>
    <row r="7" s="143" customFormat="1" ht="43" customHeight="1" spans="1:11">
      <c r="A7" s="150" t="s">
        <v>31</v>
      </c>
      <c r="B7" s="150"/>
      <c r="C7" s="150"/>
      <c r="D7" s="150"/>
      <c r="E7" s="150"/>
      <c r="F7" s="150">
        <f>SUM(F8:F9)</f>
        <v>1100</v>
      </c>
      <c r="G7" s="151"/>
      <c r="H7" s="152"/>
      <c r="I7" s="153"/>
      <c r="J7" s="153"/>
      <c r="K7" s="153"/>
    </row>
    <row r="8" s="144" customFormat="1" ht="151" customHeight="1" spans="1:11">
      <c r="A8" s="154">
        <v>1</v>
      </c>
      <c r="B8" s="154" t="s">
        <v>292</v>
      </c>
      <c r="C8" s="155" t="s">
        <v>293</v>
      </c>
      <c r="D8" s="154" t="s">
        <v>294</v>
      </c>
      <c r="E8" s="155" t="s">
        <v>295</v>
      </c>
      <c r="F8" s="154">
        <v>500</v>
      </c>
      <c r="G8" s="154" t="s">
        <v>63</v>
      </c>
      <c r="H8" s="154" t="s">
        <v>65</v>
      </c>
      <c r="I8" s="154" t="s">
        <v>296</v>
      </c>
      <c r="J8" s="154" t="s">
        <v>297</v>
      </c>
      <c r="K8" s="154"/>
    </row>
    <row r="9" s="144" customFormat="1" ht="151" customHeight="1" spans="1:11">
      <c r="A9" s="154">
        <v>2</v>
      </c>
      <c r="B9" s="154" t="s">
        <v>298</v>
      </c>
      <c r="C9" s="155" t="s">
        <v>299</v>
      </c>
      <c r="D9" s="154" t="s">
        <v>300</v>
      </c>
      <c r="E9" s="155" t="s">
        <v>301</v>
      </c>
      <c r="F9" s="154">
        <v>600</v>
      </c>
      <c r="G9" s="154" t="s">
        <v>173</v>
      </c>
      <c r="H9" s="154" t="s">
        <v>174</v>
      </c>
      <c r="I9" s="154" t="s">
        <v>296</v>
      </c>
      <c r="J9" s="154" t="s">
        <v>297</v>
      </c>
      <c r="K9" s="154"/>
    </row>
  </sheetData>
  <mergeCells count="13">
    <mergeCell ref="A1:K1"/>
    <mergeCell ref="A7:B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ageMargins left="0.393055555555556" right="0.393055555555556" top="0.590277777777778" bottom="0.590277777777778" header="0.298611111111111" footer="0.298611111111111"/>
  <pageSetup paperSize="9" scale="58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69"/>
  <sheetViews>
    <sheetView showZeros="0" zoomScale="70" zoomScaleNormal="70" topLeftCell="G1" workbookViewId="0">
      <pane ySplit="6" topLeftCell="A127" activePane="bottomLeft" state="frozen"/>
      <selection/>
      <selection pane="bottomLeft" activeCell="H11" sqref="H11"/>
    </sheetView>
  </sheetViews>
  <sheetFormatPr defaultColWidth="9" defaultRowHeight="17.5"/>
  <cols>
    <col min="1" max="1" width="7.91538461538462" style="29" customWidth="1"/>
    <col min="2" max="2" width="13.5692307692308" style="30" customWidth="1"/>
    <col min="3" max="3" width="28.8076923076923" style="30" customWidth="1"/>
    <col min="4" max="4" width="14.0769230769231" style="30" customWidth="1"/>
    <col min="5" max="5" width="13.6923076923077" style="30" hidden="1" customWidth="1"/>
    <col min="6" max="6" width="7.16923076923077" style="30" hidden="1" customWidth="1"/>
    <col min="7" max="7" width="47.4076923076923" style="30" customWidth="1"/>
    <col min="8" max="8" width="101.1" style="31" customWidth="1"/>
    <col min="9" max="9" width="11" style="31" customWidth="1"/>
    <col min="10" max="10" width="14.3076923076923" style="31" customWidth="1"/>
    <col min="11" max="11" width="20.2769230769231" style="32" customWidth="1"/>
    <col min="12" max="14" width="16.5384615384615" style="32" customWidth="1"/>
    <col min="15" max="15" width="12.3076923076923" style="32" customWidth="1"/>
    <col min="16" max="16" width="13.5384615384615" style="32" customWidth="1"/>
    <col min="17" max="19" width="11" style="30" customWidth="1"/>
    <col min="20" max="21" width="13.5384615384615" style="30" customWidth="1"/>
    <col min="22" max="23" width="10.8538461538462" style="30" customWidth="1"/>
    <col min="24" max="24" width="9.31538461538462" style="33" customWidth="1"/>
    <col min="25" max="25" width="8.46153846153846" style="34" customWidth="1"/>
    <col min="26" max="26" width="10.0692307692308" style="33" customWidth="1"/>
    <col min="27" max="27" width="9" style="35"/>
    <col min="28" max="16384" width="9" style="36"/>
  </cols>
  <sheetData>
    <row r="1" s="22" customFormat="1" ht="84" customHeight="1" spans="1:27">
      <c r="A1" s="37" t="s">
        <v>302</v>
      </c>
      <c r="B1" s="37"/>
      <c r="C1" s="37"/>
      <c r="D1" s="38"/>
      <c r="E1" s="38"/>
      <c r="F1" s="38"/>
      <c r="G1" s="37"/>
      <c r="H1" s="37"/>
      <c r="I1" s="37"/>
      <c r="J1" s="37"/>
      <c r="K1" s="39"/>
      <c r="L1" s="40"/>
      <c r="M1" s="40"/>
      <c r="N1" s="40"/>
      <c r="O1" s="40"/>
      <c r="P1" s="40"/>
      <c r="Q1" s="38"/>
      <c r="R1" s="38"/>
      <c r="S1" s="38"/>
      <c r="T1" s="38"/>
      <c r="U1" s="38"/>
      <c r="V1" s="38"/>
      <c r="W1" s="38"/>
      <c r="X1" s="37"/>
      <c r="Y1" s="37"/>
      <c r="Z1" s="37"/>
      <c r="AA1" s="41"/>
    </row>
    <row r="2" s="23" customFormat="1" ht="50" customHeight="1" spans="1:27">
      <c r="A2" s="42" t="s">
        <v>1</v>
      </c>
      <c r="B2" s="42"/>
      <c r="C2" s="42"/>
      <c r="D2" s="42"/>
      <c r="E2" s="43"/>
      <c r="F2" s="42"/>
      <c r="G2" s="42"/>
      <c r="H2" s="44"/>
      <c r="I2" s="42"/>
      <c r="J2" s="42"/>
      <c r="K2" s="45"/>
      <c r="L2" s="45"/>
      <c r="M2" s="45"/>
      <c r="N2" s="45"/>
      <c r="O2" s="45"/>
      <c r="P2" s="45"/>
      <c r="Q2" s="42"/>
      <c r="R2" s="42"/>
      <c r="S2" s="42"/>
      <c r="T2" s="42"/>
      <c r="U2" s="42"/>
      <c r="V2" s="42"/>
      <c r="W2" s="42"/>
      <c r="X2" s="42"/>
      <c r="Y2" s="42"/>
      <c r="Z2" s="42"/>
      <c r="AA2" s="46"/>
    </row>
    <row r="3" s="24" customFormat="1" ht="42" customHeight="1" spans="1:2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13</v>
      </c>
      <c r="L3" s="11" t="s">
        <v>14</v>
      </c>
      <c r="M3" s="11"/>
      <c r="N3" s="11"/>
      <c r="O3" s="11"/>
      <c r="P3" s="11"/>
      <c r="Q3" s="10"/>
      <c r="R3" s="10"/>
      <c r="S3" s="10"/>
      <c r="T3" s="10"/>
      <c r="U3" s="10"/>
      <c r="V3" s="10"/>
      <c r="W3" s="12" t="s">
        <v>303</v>
      </c>
      <c r="X3" s="10" t="s">
        <v>304</v>
      </c>
      <c r="Y3" s="10" t="s">
        <v>15</v>
      </c>
      <c r="Z3" s="10" t="s">
        <v>17</v>
      </c>
      <c r="AA3" s="104" t="s">
        <v>305</v>
      </c>
    </row>
    <row r="4" s="24" customFormat="1" ht="42" customHeight="1" spans="1:27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 t="s">
        <v>18</v>
      </c>
      <c r="M4" s="11"/>
      <c r="N4" s="11"/>
      <c r="O4" s="11"/>
      <c r="P4" s="11"/>
      <c r="Q4" s="10"/>
      <c r="R4" s="10"/>
      <c r="S4" s="10"/>
      <c r="T4" s="10" t="s">
        <v>19</v>
      </c>
      <c r="U4" s="10" t="s">
        <v>20</v>
      </c>
      <c r="V4" s="10" t="s">
        <v>21</v>
      </c>
      <c r="W4" s="105"/>
      <c r="X4" s="10"/>
      <c r="Y4" s="10"/>
      <c r="Z4" s="10"/>
      <c r="AA4" s="104"/>
    </row>
    <row r="5" s="24" customFormat="1" ht="42" customHeight="1" spans="1:27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  <c r="L5" s="48" t="s">
        <v>22</v>
      </c>
      <c r="M5" s="49" t="s">
        <v>23</v>
      </c>
      <c r="N5" s="50"/>
      <c r="O5" s="48" t="s">
        <v>24</v>
      </c>
      <c r="P5" s="48" t="s">
        <v>25</v>
      </c>
      <c r="Q5" s="12" t="s">
        <v>26</v>
      </c>
      <c r="R5" s="12" t="s">
        <v>27</v>
      </c>
      <c r="S5" s="12" t="s">
        <v>28</v>
      </c>
      <c r="T5" s="10"/>
      <c r="U5" s="10"/>
      <c r="V5" s="10"/>
      <c r="W5" s="105"/>
      <c r="X5" s="10"/>
      <c r="Y5" s="10"/>
      <c r="Z5" s="10"/>
      <c r="AA5" s="104"/>
    </row>
    <row r="6" s="24" customFormat="1" ht="42" customHeight="1" spans="1:27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51"/>
      <c r="M6" s="11" t="s">
        <v>29</v>
      </c>
      <c r="N6" s="11" t="s">
        <v>30</v>
      </c>
      <c r="O6" s="51"/>
      <c r="P6" s="51"/>
      <c r="Q6" s="52"/>
      <c r="R6" s="52"/>
      <c r="S6" s="52"/>
      <c r="T6" s="10"/>
      <c r="U6" s="10"/>
      <c r="V6" s="10"/>
      <c r="W6" s="52"/>
      <c r="X6" s="10"/>
      <c r="Y6" s="10"/>
      <c r="Z6" s="10"/>
      <c r="AA6" s="104"/>
    </row>
    <row r="7" s="98" customFormat="1" ht="43" customHeight="1" spans="1:27">
      <c r="A7" s="13" t="s">
        <v>31</v>
      </c>
      <c r="B7" s="13"/>
      <c r="C7" s="13"/>
      <c r="D7" s="13"/>
      <c r="E7" s="13"/>
      <c r="F7" s="13"/>
      <c r="G7" s="13"/>
      <c r="H7" s="13">
        <f t="shared" ref="H7:U7" si="0">SUM(H8,H120,H128,H161,H163,H165,H167)</f>
        <v>144</v>
      </c>
      <c r="I7" s="13"/>
      <c r="J7" s="13"/>
      <c r="K7" s="14">
        <f t="shared" si="0"/>
        <v>132446.319885</v>
      </c>
      <c r="L7" s="14">
        <f t="shared" si="0"/>
        <v>130167.319885</v>
      </c>
      <c r="M7" s="14">
        <f t="shared" si="0"/>
        <v>91812.63078</v>
      </c>
      <c r="N7" s="14">
        <f t="shared" si="0"/>
        <v>28065.389105</v>
      </c>
      <c r="O7" s="14">
        <f t="shared" si="0"/>
        <v>5481</v>
      </c>
      <c r="P7" s="14">
        <f t="shared" si="0"/>
        <v>4513.3</v>
      </c>
      <c r="Q7" s="14">
        <f t="shared" si="0"/>
        <v>0</v>
      </c>
      <c r="R7" s="14">
        <f t="shared" si="0"/>
        <v>295</v>
      </c>
      <c r="S7" s="14">
        <f t="shared" si="0"/>
        <v>0</v>
      </c>
      <c r="T7" s="14">
        <f t="shared" si="0"/>
        <v>2000</v>
      </c>
      <c r="U7" s="14">
        <f t="shared" si="0"/>
        <v>279</v>
      </c>
      <c r="V7" s="14">
        <f>SUBTOTAL(9,V8,V120,V128,V161,V163,V165,V167)</f>
        <v>0</v>
      </c>
      <c r="W7" s="14"/>
      <c r="X7" s="15"/>
      <c r="Y7" s="15"/>
      <c r="Z7" s="15"/>
      <c r="AA7" s="106"/>
    </row>
    <row r="8" s="99" customFormat="1" ht="43" customHeight="1" spans="1:27">
      <c r="A8" s="13" t="s">
        <v>32</v>
      </c>
      <c r="B8" s="107" t="s">
        <v>33</v>
      </c>
      <c r="C8" s="108"/>
      <c r="D8" s="109"/>
      <c r="E8" s="13"/>
      <c r="F8" s="13"/>
      <c r="G8" s="13"/>
      <c r="H8" s="13">
        <f>SUBTOTAL(9,H37,H66,H73,H79,H9,H85)</f>
        <v>105</v>
      </c>
      <c r="I8" s="110"/>
      <c r="J8" s="110">
        <f>K8/K7</f>
        <v>0.798416973584604</v>
      </c>
      <c r="K8" s="14">
        <f t="shared" ref="K8:V8" si="1">SUM(K37,K66,K73,K79,K9,K85)</f>
        <v>105747.389885</v>
      </c>
      <c r="L8" s="14">
        <f t="shared" si="1"/>
        <v>105585.509885</v>
      </c>
      <c r="M8" s="14">
        <f t="shared" si="1"/>
        <v>83589.03078</v>
      </c>
      <c r="N8" s="14">
        <f t="shared" si="1"/>
        <v>18098.179105</v>
      </c>
      <c r="O8" s="14">
        <f t="shared" si="1"/>
        <v>0</v>
      </c>
      <c r="P8" s="14">
        <f t="shared" si="1"/>
        <v>3603.3</v>
      </c>
      <c r="Q8" s="14">
        <f t="shared" si="1"/>
        <v>0</v>
      </c>
      <c r="R8" s="14">
        <f t="shared" si="1"/>
        <v>295</v>
      </c>
      <c r="S8" s="14">
        <f t="shared" si="1"/>
        <v>0</v>
      </c>
      <c r="T8" s="14">
        <f t="shared" si="1"/>
        <v>0</v>
      </c>
      <c r="U8" s="14">
        <f t="shared" si="1"/>
        <v>161.88</v>
      </c>
      <c r="V8" s="14">
        <f t="shared" si="1"/>
        <v>0</v>
      </c>
      <c r="W8" s="13"/>
      <c r="X8" s="14">
        <f t="shared" ref="X8:Z8" si="2">SUM(X37,X66,X73,X79,X9,X85)</f>
        <v>0</v>
      </c>
      <c r="Y8" s="14">
        <f t="shared" si="2"/>
        <v>0</v>
      </c>
      <c r="Z8" s="111">
        <f t="shared" si="2"/>
        <v>0</v>
      </c>
      <c r="AA8" s="112"/>
    </row>
    <row r="9" s="99" customFormat="1" ht="43" customHeight="1" spans="1:27">
      <c r="A9" s="113" t="s">
        <v>306</v>
      </c>
      <c r="B9" s="114"/>
      <c r="C9" s="115"/>
      <c r="D9" s="109"/>
      <c r="E9" s="13"/>
      <c r="F9" s="13"/>
      <c r="G9" s="13"/>
      <c r="H9" s="13">
        <v>27</v>
      </c>
      <c r="I9" s="110"/>
      <c r="J9" s="110">
        <f>K9/K7</f>
        <v>0.196040206383572</v>
      </c>
      <c r="K9" s="14">
        <f t="shared" ref="K9:V9" si="3">SUM(K10:K36)</f>
        <v>25964.803885</v>
      </c>
      <c r="L9" s="14">
        <f t="shared" si="3"/>
        <v>25964.803885</v>
      </c>
      <c r="M9" s="14">
        <f t="shared" si="3"/>
        <v>17046.62478</v>
      </c>
      <c r="N9" s="14">
        <f t="shared" si="3"/>
        <v>8918.179105</v>
      </c>
      <c r="O9" s="14">
        <f t="shared" si="3"/>
        <v>0</v>
      </c>
      <c r="P9" s="14">
        <f t="shared" si="3"/>
        <v>0</v>
      </c>
      <c r="Q9" s="14">
        <f t="shared" si="3"/>
        <v>0</v>
      </c>
      <c r="R9" s="14">
        <f t="shared" si="3"/>
        <v>0</v>
      </c>
      <c r="S9" s="14">
        <f t="shared" si="3"/>
        <v>0</v>
      </c>
      <c r="T9" s="14">
        <f t="shared" si="3"/>
        <v>0</v>
      </c>
      <c r="U9" s="14">
        <f t="shared" si="3"/>
        <v>0</v>
      </c>
      <c r="V9" s="14">
        <f t="shared" si="3"/>
        <v>0</v>
      </c>
      <c r="W9" s="13"/>
      <c r="X9" s="111"/>
      <c r="Y9" s="111"/>
      <c r="Z9" s="111"/>
      <c r="AA9" s="112"/>
    </row>
    <row r="10" s="100" customFormat="1" ht="228" customHeight="1" spans="1:27">
      <c r="A10" s="116">
        <v>1</v>
      </c>
      <c r="B10" s="116" t="s">
        <v>307</v>
      </c>
      <c r="C10" s="116" t="s">
        <v>308</v>
      </c>
      <c r="D10" s="116" t="s">
        <v>33</v>
      </c>
      <c r="E10" s="116" t="s">
        <v>37</v>
      </c>
      <c r="F10" s="116" t="s">
        <v>38</v>
      </c>
      <c r="G10" s="116" t="s">
        <v>309</v>
      </c>
      <c r="H10" s="117" t="s">
        <v>310</v>
      </c>
      <c r="I10" s="116" t="s">
        <v>41</v>
      </c>
      <c r="J10" s="116">
        <v>13988.5</v>
      </c>
      <c r="K10" s="118">
        <f t="shared" ref="K10:K36" si="4">SUM(L10,T10,U10,V10)</f>
        <v>559.54</v>
      </c>
      <c r="L10" s="118">
        <f t="shared" ref="L10:L36" si="5">SUM(M10:S10)</f>
        <v>559.54</v>
      </c>
      <c r="M10" s="118">
        <f>J10*0.04</f>
        <v>559.54</v>
      </c>
      <c r="N10" s="118"/>
      <c r="O10" s="118"/>
      <c r="P10" s="118"/>
      <c r="Q10" s="116"/>
      <c r="R10" s="116"/>
      <c r="S10" s="116"/>
      <c r="T10" s="116"/>
      <c r="U10" s="116"/>
      <c r="V10" s="116"/>
      <c r="W10" s="116">
        <v>15728</v>
      </c>
      <c r="X10" s="116" t="s">
        <v>311</v>
      </c>
      <c r="Y10" s="116" t="s">
        <v>312</v>
      </c>
      <c r="Z10" s="116" t="s">
        <v>313</v>
      </c>
      <c r="AA10" s="119" t="s">
        <v>314</v>
      </c>
    </row>
    <row r="11" s="100" customFormat="1" ht="222" customHeight="1" spans="1:27">
      <c r="A11" s="116">
        <v>2</v>
      </c>
      <c r="B11" s="116" t="s">
        <v>315</v>
      </c>
      <c r="C11" s="116" t="s">
        <v>316</v>
      </c>
      <c r="D11" s="116" t="s">
        <v>33</v>
      </c>
      <c r="E11" s="116" t="s">
        <v>37</v>
      </c>
      <c r="F11" s="116" t="s">
        <v>38</v>
      </c>
      <c r="G11" s="116" t="s">
        <v>317</v>
      </c>
      <c r="H11" s="117" t="s">
        <v>318</v>
      </c>
      <c r="I11" s="116" t="s">
        <v>41</v>
      </c>
      <c r="J11" s="116">
        <v>21835.6</v>
      </c>
      <c r="K11" s="118">
        <f t="shared" si="4"/>
        <v>873.424</v>
      </c>
      <c r="L11" s="118">
        <f t="shared" si="5"/>
        <v>873.424</v>
      </c>
      <c r="M11" s="118">
        <f>J11*0.04</f>
        <v>873.424</v>
      </c>
      <c r="N11" s="118"/>
      <c r="O11" s="118"/>
      <c r="P11" s="118"/>
      <c r="Q11" s="116"/>
      <c r="R11" s="116"/>
      <c r="S11" s="116"/>
      <c r="T11" s="116"/>
      <c r="U11" s="116"/>
      <c r="V11" s="116"/>
      <c r="W11" s="116">
        <v>18548</v>
      </c>
      <c r="X11" s="116" t="s">
        <v>311</v>
      </c>
      <c r="Y11" s="116" t="s">
        <v>312</v>
      </c>
      <c r="Z11" s="116" t="s">
        <v>313</v>
      </c>
      <c r="AA11" s="119" t="s">
        <v>314</v>
      </c>
    </row>
    <row r="12" s="100" customFormat="1" ht="265" customHeight="1" spans="1:27">
      <c r="A12" s="116">
        <v>3</v>
      </c>
      <c r="B12" s="116" t="s">
        <v>319</v>
      </c>
      <c r="C12" s="116" t="s">
        <v>320</v>
      </c>
      <c r="D12" s="116" t="s">
        <v>33</v>
      </c>
      <c r="E12" s="116" t="s">
        <v>37</v>
      </c>
      <c r="F12" s="116" t="s">
        <v>38</v>
      </c>
      <c r="G12" s="116" t="s">
        <v>321</v>
      </c>
      <c r="H12" s="117" t="s">
        <v>322</v>
      </c>
      <c r="I12" s="116" t="s">
        <v>41</v>
      </c>
      <c r="J12" s="116">
        <v>103024.24</v>
      </c>
      <c r="K12" s="118">
        <f t="shared" si="4"/>
        <v>978.73028</v>
      </c>
      <c r="L12" s="118">
        <f t="shared" si="5"/>
        <v>978.73028</v>
      </c>
      <c r="M12" s="118">
        <f>J12*0.0095</f>
        <v>978.73028</v>
      </c>
      <c r="N12" s="118"/>
      <c r="O12" s="118"/>
      <c r="P12" s="118"/>
      <c r="Q12" s="116"/>
      <c r="R12" s="116"/>
      <c r="S12" s="116"/>
      <c r="T12" s="116"/>
      <c r="U12" s="116"/>
      <c r="V12" s="116"/>
      <c r="W12" s="116">
        <v>53780</v>
      </c>
      <c r="X12" s="116" t="s">
        <v>311</v>
      </c>
      <c r="Y12" s="116" t="s">
        <v>312</v>
      </c>
      <c r="Z12" s="116" t="s">
        <v>313</v>
      </c>
      <c r="AA12" s="119" t="s">
        <v>314</v>
      </c>
    </row>
    <row r="13" s="100" customFormat="1" ht="187" customHeight="1" spans="1:27">
      <c r="A13" s="116">
        <v>4</v>
      </c>
      <c r="B13" s="116" t="s">
        <v>323</v>
      </c>
      <c r="C13" s="116" t="s">
        <v>324</v>
      </c>
      <c r="D13" s="116" t="s">
        <v>33</v>
      </c>
      <c r="E13" s="116" t="s">
        <v>37</v>
      </c>
      <c r="F13" s="116" t="s">
        <v>38</v>
      </c>
      <c r="G13" s="116" t="s">
        <v>325</v>
      </c>
      <c r="H13" s="117" t="s">
        <v>326</v>
      </c>
      <c r="I13" s="116" t="s">
        <v>41</v>
      </c>
      <c r="J13" s="116">
        <v>14029.47</v>
      </c>
      <c r="K13" s="118">
        <f t="shared" si="4"/>
        <v>133.279965</v>
      </c>
      <c r="L13" s="118">
        <f t="shared" si="5"/>
        <v>133.279965</v>
      </c>
      <c r="M13" s="118"/>
      <c r="N13" s="118">
        <f>J13*95/10000</f>
        <v>133.279965</v>
      </c>
      <c r="O13" s="118"/>
      <c r="P13" s="118"/>
      <c r="Q13" s="116"/>
      <c r="R13" s="116"/>
      <c r="S13" s="116"/>
      <c r="T13" s="116"/>
      <c r="U13" s="116"/>
      <c r="V13" s="116"/>
      <c r="W13" s="116">
        <v>6696</v>
      </c>
      <c r="X13" s="116" t="s">
        <v>311</v>
      </c>
      <c r="Y13" s="116" t="s">
        <v>312</v>
      </c>
      <c r="Z13" s="116" t="s">
        <v>313</v>
      </c>
      <c r="AA13" s="119" t="s">
        <v>327</v>
      </c>
    </row>
    <row r="14" s="100" customFormat="1" ht="277" customHeight="1" spans="1:27">
      <c r="A14" s="116">
        <v>5</v>
      </c>
      <c r="B14" s="116" t="s">
        <v>328</v>
      </c>
      <c r="C14" s="116" t="s">
        <v>329</v>
      </c>
      <c r="D14" s="116" t="s">
        <v>33</v>
      </c>
      <c r="E14" s="116" t="s">
        <v>37</v>
      </c>
      <c r="F14" s="116" t="s">
        <v>38</v>
      </c>
      <c r="G14" s="116" t="s">
        <v>330</v>
      </c>
      <c r="H14" s="117" t="s">
        <v>331</v>
      </c>
      <c r="I14" s="116" t="s">
        <v>41</v>
      </c>
      <c r="J14" s="116">
        <v>176653.98</v>
      </c>
      <c r="K14" s="118">
        <f t="shared" si="4"/>
        <v>4416.3495</v>
      </c>
      <c r="L14" s="118">
        <f t="shared" si="5"/>
        <v>4416.3495</v>
      </c>
      <c r="M14" s="118">
        <f>J14*0.025</f>
        <v>4416.3495</v>
      </c>
      <c r="N14" s="118"/>
      <c r="O14" s="118"/>
      <c r="P14" s="118"/>
      <c r="Q14" s="116"/>
      <c r="R14" s="116"/>
      <c r="S14" s="116"/>
      <c r="T14" s="116"/>
      <c r="U14" s="116"/>
      <c r="V14" s="116"/>
      <c r="W14" s="116">
        <v>62668</v>
      </c>
      <c r="X14" s="116" t="s">
        <v>311</v>
      </c>
      <c r="Y14" s="116" t="s">
        <v>312</v>
      </c>
      <c r="Z14" s="116" t="s">
        <v>313</v>
      </c>
      <c r="AA14" s="119" t="s">
        <v>327</v>
      </c>
    </row>
    <row r="15" s="100" customFormat="1" ht="181" customHeight="1" spans="1:27">
      <c r="A15" s="116">
        <v>6</v>
      </c>
      <c r="B15" s="116" t="s">
        <v>332</v>
      </c>
      <c r="C15" s="116" t="s">
        <v>333</v>
      </c>
      <c r="D15" s="116" t="s">
        <v>33</v>
      </c>
      <c r="E15" s="116" t="s">
        <v>37</v>
      </c>
      <c r="F15" s="116" t="s">
        <v>38</v>
      </c>
      <c r="G15" s="116" t="s">
        <v>334</v>
      </c>
      <c r="H15" s="117" t="s">
        <v>335</v>
      </c>
      <c r="I15" s="116" t="s">
        <v>41</v>
      </c>
      <c r="J15" s="116">
        <v>97317.16</v>
      </c>
      <c r="K15" s="118">
        <f t="shared" si="4"/>
        <v>1459.7574</v>
      </c>
      <c r="L15" s="118">
        <f t="shared" si="5"/>
        <v>1459.7574</v>
      </c>
      <c r="M15" s="118"/>
      <c r="N15" s="118">
        <f>J15*0.015</f>
        <v>1459.7574</v>
      </c>
      <c r="O15" s="118"/>
      <c r="P15" s="118"/>
      <c r="Q15" s="116"/>
      <c r="R15" s="116"/>
      <c r="S15" s="116"/>
      <c r="T15" s="116"/>
      <c r="U15" s="116"/>
      <c r="V15" s="116"/>
      <c r="W15" s="116">
        <v>46116</v>
      </c>
      <c r="X15" s="116" t="s">
        <v>44</v>
      </c>
      <c r="Y15" s="116" t="s">
        <v>45</v>
      </c>
      <c r="Z15" s="116" t="s">
        <v>336</v>
      </c>
      <c r="AA15" s="119" t="s">
        <v>337</v>
      </c>
    </row>
    <row r="16" s="100" customFormat="1" ht="184" customHeight="1" spans="1:27">
      <c r="A16" s="116">
        <v>7</v>
      </c>
      <c r="B16" s="116" t="s">
        <v>338</v>
      </c>
      <c r="C16" s="116" t="s">
        <v>339</v>
      </c>
      <c r="D16" s="116" t="s">
        <v>33</v>
      </c>
      <c r="E16" s="116" t="s">
        <v>37</v>
      </c>
      <c r="F16" s="116" t="s">
        <v>38</v>
      </c>
      <c r="G16" s="116" t="s">
        <v>340</v>
      </c>
      <c r="H16" s="117" t="s">
        <v>341</v>
      </c>
      <c r="I16" s="116" t="s">
        <v>41</v>
      </c>
      <c r="J16" s="116">
        <v>78751.45</v>
      </c>
      <c r="K16" s="118">
        <f t="shared" si="4"/>
        <v>1181.27175</v>
      </c>
      <c r="L16" s="118">
        <f t="shared" si="5"/>
        <v>1181.27175</v>
      </c>
      <c r="M16" s="118"/>
      <c r="N16" s="118">
        <f>J16*0.015</f>
        <v>1181.27175</v>
      </c>
      <c r="O16" s="118"/>
      <c r="P16" s="118"/>
      <c r="Q16" s="116"/>
      <c r="R16" s="116"/>
      <c r="S16" s="116"/>
      <c r="T16" s="116"/>
      <c r="U16" s="116"/>
      <c r="V16" s="116"/>
      <c r="W16" s="116">
        <v>37812</v>
      </c>
      <c r="X16" s="116" t="s">
        <v>44</v>
      </c>
      <c r="Y16" s="116" t="s">
        <v>45</v>
      </c>
      <c r="Z16" s="116" t="s">
        <v>336</v>
      </c>
      <c r="AA16" s="119" t="s">
        <v>337</v>
      </c>
    </row>
    <row r="17" s="100" customFormat="1" ht="178" customHeight="1" spans="1:27">
      <c r="A17" s="116">
        <v>8</v>
      </c>
      <c r="B17" s="116" t="s">
        <v>342</v>
      </c>
      <c r="C17" s="116" t="s">
        <v>343</v>
      </c>
      <c r="D17" s="116" t="s">
        <v>33</v>
      </c>
      <c r="E17" s="116" t="s">
        <v>37</v>
      </c>
      <c r="F17" s="116" t="s">
        <v>38</v>
      </c>
      <c r="G17" s="116" t="s">
        <v>344</v>
      </c>
      <c r="H17" s="117" t="s">
        <v>345</v>
      </c>
      <c r="I17" s="116" t="s">
        <v>41</v>
      </c>
      <c r="J17" s="116">
        <v>33378.3</v>
      </c>
      <c r="K17" s="118">
        <f t="shared" si="4"/>
        <v>100.1349</v>
      </c>
      <c r="L17" s="118">
        <f t="shared" si="5"/>
        <v>100.1349</v>
      </c>
      <c r="M17" s="118"/>
      <c r="N17" s="118">
        <f>J17*0.003</f>
        <v>100.1349</v>
      </c>
      <c r="O17" s="118"/>
      <c r="P17" s="118"/>
      <c r="Q17" s="116"/>
      <c r="R17" s="116"/>
      <c r="S17" s="116"/>
      <c r="T17" s="116"/>
      <c r="U17" s="116"/>
      <c r="V17" s="116"/>
      <c r="W17" s="116">
        <v>19544</v>
      </c>
      <c r="X17" s="116" t="s">
        <v>44</v>
      </c>
      <c r="Y17" s="116" t="s">
        <v>45</v>
      </c>
      <c r="Z17" s="116" t="s">
        <v>336</v>
      </c>
      <c r="AA17" s="119" t="s">
        <v>327</v>
      </c>
    </row>
    <row r="18" s="100" customFormat="1" ht="122" customHeight="1" spans="1:27">
      <c r="A18" s="116">
        <v>9</v>
      </c>
      <c r="B18" s="116" t="s">
        <v>346</v>
      </c>
      <c r="C18" s="116" t="s">
        <v>347</v>
      </c>
      <c r="D18" s="116" t="s">
        <v>33</v>
      </c>
      <c r="E18" s="116" t="s">
        <v>348</v>
      </c>
      <c r="F18" s="116" t="s">
        <v>38</v>
      </c>
      <c r="G18" s="116" t="s">
        <v>349</v>
      </c>
      <c r="H18" s="117" t="s">
        <v>350</v>
      </c>
      <c r="I18" s="116" t="s">
        <v>41</v>
      </c>
      <c r="J18" s="116">
        <v>3500.3</v>
      </c>
      <c r="K18" s="118">
        <f t="shared" si="4"/>
        <v>35.003</v>
      </c>
      <c r="L18" s="118">
        <f t="shared" si="5"/>
        <v>35.003</v>
      </c>
      <c r="M18" s="118"/>
      <c r="N18" s="118">
        <f>J18*0.01</f>
        <v>35.003</v>
      </c>
      <c r="O18" s="118"/>
      <c r="P18" s="118"/>
      <c r="Q18" s="116"/>
      <c r="R18" s="116"/>
      <c r="S18" s="116"/>
      <c r="T18" s="116"/>
      <c r="U18" s="116"/>
      <c r="V18" s="116"/>
      <c r="W18" s="116">
        <v>2432</v>
      </c>
      <c r="X18" s="116" t="s">
        <v>351</v>
      </c>
      <c r="Y18" s="116" t="s">
        <v>352</v>
      </c>
      <c r="Z18" s="116" t="s">
        <v>336</v>
      </c>
      <c r="AA18" s="119" t="s">
        <v>327</v>
      </c>
    </row>
    <row r="19" s="100" customFormat="1" ht="134" customHeight="1" spans="1:27">
      <c r="A19" s="116">
        <v>10</v>
      </c>
      <c r="B19" s="116" t="s">
        <v>353</v>
      </c>
      <c r="C19" s="116" t="s">
        <v>354</v>
      </c>
      <c r="D19" s="116" t="s">
        <v>33</v>
      </c>
      <c r="E19" s="116" t="s">
        <v>37</v>
      </c>
      <c r="F19" s="116" t="s">
        <v>38</v>
      </c>
      <c r="G19" s="116" t="s">
        <v>355</v>
      </c>
      <c r="H19" s="117" t="s">
        <v>356</v>
      </c>
      <c r="I19" s="116" t="s">
        <v>41</v>
      </c>
      <c r="J19" s="116">
        <v>6434.99</v>
      </c>
      <c r="K19" s="118">
        <f t="shared" si="4"/>
        <v>289.57455</v>
      </c>
      <c r="L19" s="118">
        <f t="shared" si="5"/>
        <v>289.57455</v>
      </c>
      <c r="M19" s="118"/>
      <c r="N19" s="118">
        <f>J19*0.045</f>
        <v>289.57455</v>
      </c>
      <c r="O19" s="118"/>
      <c r="P19" s="118"/>
      <c r="Q19" s="116"/>
      <c r="R19" s="116"/>
      <c r="S19" s="116"/>
      <c r="T19" s="116"/>
      <c r="U19" s="116"/>
      <c r="V19" s="116"/>
      <c r="W19" s="116">
        <v>15000</v>
      </c>
      <c r="X19" s="116" t="s">
        <v>166</v>
      </c>
      <c r="Y19" s="116" t="s">
        <v>357</v>
      </c>
      <c r="Z19" s="116" t="s">
        <v>358</v>
      </c>
      <c r="AA19" s="119" t="s">
        <v>327</v>
      </c>
    </row>
    <row r="20" s="100" customFormat="1" ht="90" customHeight="1" spans="1:27">
      <c r="A20" s="116">
        <v>11</v>
      </c>
      <c r="B20" s="116" t="s">
        <v>359</v>
      </c>
      <c r="C20" s="116" t="s">
        <v>360</v>
      </c>
      <c r="D20" s="116" t="s">
        <v>33</v>
      </c>
      <c r="E20" s="116" t="s">
        <v>37</v>
      </c>
      <c r="F20" s="116" t="s">
        <v>38</v>
      </c>
      <c r="G20" s="116" t="s">
        <v>361</v>
      </c>
      <c r="H20" s="117" t="s">
        <v>362</v>
      </c>
      <c r="I20" s="116" t="s">
        <v>41</v>
      </c>
      <c r="J20" s="116">
        <v>504.7</v>
      </c>
      <c r="K20" s="118">
        <f t="shared" si="4"/>
        <v>75.705</v>
      </c>
      <c r="L20" s="118">
        <f t="shared" si="5"/>
        <v>75.705</v>
      </c>
      <c r="M20" s="118"/>
      <c r="N20" s="118">
        <f>J20*0.15</f>
        <v>75.705</v>
      </c>
      <c r="O20" s="118"/>
      <c r="P20" s="118"/>
      <c r="Q20" s="116"/>
      <c r="R20" s="116"/>
      <c r="S20" s="116"/>
      <c r="T20" s="116"/>
      <c r="U20" s="116"/>
      <c r="V20" s="116"/>
      <c r="W20" s="116">
        <v>360</v>
      </c>
      <c r="X20" s="116" t="s">
        <v>166</v>
      </c>
      <c r="Y20" s="116" t="s">
        <v>357</v>
      </c>
      <c r="Z20" s="120" t="s">
        <v>358</v>
      </c>
      <c r="AA20" s="119" t="s">
        <v>327</v>
      </c>
    </row>
    <row r="21" s="100" customFormat="1" ht="144" customHeight="1" spans="1:27">
      <c r="A21" s="116">
        <v>12</v>
      </c>
      <c r="B21" s="116" t="s">
        <v>363</v>
      </c>
      <c r="C21" s="116" t="s">
        <v>364</v>
      </c>
      <c r="D21" s="116" t="s">
        <v>33</v>
      </c>
      <c r="E21" s="116" t="s">
        <v>37</v>
      </c>
      <c r="F21" s="116" t="s">
        <v>38</v>
      </c>
      <c r="G21" s="116" t="s">
        <v>365</v>
      </c>
      <c r="H21" s="117" t="s">
        <v>366</v>
      </c>
      <c r="I21" s="116" t="s">
        <v>41</v>
      </c>
      <c r="J21" s="116">
        <v>831.32</v>
      </c>
      <c r="K21" s="118">
        <f t="shared" si="4"/>
        <v>24.9396</v>
      </c>
      <c r="L21" s="118">
        <f t="shared" si="5"/>
        <v>24.9396</v>
      </c>
      <c r="M21" s="118"/>
      <c r="N21" s="118">
        <f>J21*0.03</f>
        <v>24.9396</v>
      </c>
      <c r="O21" s="118"/>
      <c r="P21" s="118"/>
      <c r="Q21" s="116"/>
      <c r="R21" s="116"/>
      <c r="S21" s="116"/>
      <c r="T21" s="116"/>
      <c r="U21" s="116"/>
      <c r="V21" s="116"/>
      <c r="W21" s="116">
        <v>4820</v>
      </c>
      <c r="X21" s="116" t="s">
        <v>166</v>
      </c>
      <c r="Y21" s="116" t="s">
        <v>357</v>
      </c>
      <c r="Z21" s="120" t="s">
        <v>358</v>
      </c>
      <c r="AA21" s="119" t="s">
        <v>327</v>
      </c>
    </row>
    <row r="22" s="100" customFormat="1" ht="184" customHeight="1" spans="1:27">
      <c r="A22" s="116">
        <v>13</v>
      </c>
      <c r="B22" s="116" t="s">
        <v>367</v>
      </c>
      <c r="C22" s="116" t="s">
        <v>368</v>
      </c>
      <c r="D22" s="116" t="s">
        <v>33</v>
      </c>
      <c r="E22" s="116" t="s">
        <v>37</v>
      </c>
      <c r="F22" s="116" t="s">
        <v>38</v>
      </c>
      <c r="G22" s="116" t="s">
        <v>369</v>
      </c>
      <c r="H22" s="117" t="s">
        <v>370</v>
      </c>
      <c r="I22" s="116" t="s">
        <v>41</v>
      </c>
      <c r="J22" s="116">
        <v>6503.41</v>
      </c>
      <c r="K22" s="118">
        <f t="shared" si="4"/>
        <v>650.341</v>
      </c>
      <c r="L22" s="118">
        <f t="shared" si="5"/>
        <v>650.341</v>
      </c>
      <c r="M22" s="118">
        <f>J22*0.1</f>
        <v>650.341</v>
      </c>
      <c r="N22" s="118"/>
      <c r="O22" s="118"/>
      <c r="P22" s="118"/>
      <c r="Q22" s="116"/>
      <c r="R22" s="116"/>
      <c r="S22" s="116"/>
      <c r="T22" s="116"/>
      <c r="U22" s="116"/>
      <c r="V22" s="116"/>
      <c r="W22" s="116">
        <v>56360</v>
      </c>
      <c r="X22" s="116" t="s">
        <v>166</v>
      </c>
      <c r="Y22" s="116" t="s">
        <v>357</v>
      </c>
      <c r="Z22" s="120" t="s">
        <v>358</v>
      </c>
      <c r="AA22" s="119" t="s">
        <v>327</v>
      </c>
    </row>
    <row r="23" s="100" customFormat="1" ht="173" customHeight="1" spans="1:27">
      <c r="A23" s="116">
        <v>14</v>
      </c>
      <c r="B23" s="116" t="s">
        <v>371</v>
      </c>
      <c r="C23" s="116" t="s">
        <v>372</v>
      </c>
      <c r="D23" s="116" t="s">
        <v>33</v>
      </c>
      <c r="E23" s="116" t="s">
        <v>211</v>
      </c>
      <c r="F23" s="116" t="s">
        <v>38</v>
      </c>
      <c r="G23" s="116" t="s">
        <v>373</v>
      </c>
      <c r="H23" s="117" t="s">
        <v>374</v>
      </c>
      <c r="I23" s="116" t="s">
        <v>375</v>
      </c>
      <c r="J23" s="116">
        <v>7386</v>
      </c>
      <c r="K23" s="118">
        <f t="shared" si="4"/>
        <v>2954.4</v>
      </c>
      <c r="L23" s="118">
        <f t="shared" si="5"/>
        <v>2954.4</v>
      </c>
      <c r="M23" s="118"/>
      <c r="N23" s="118">
        <f>J23*0.4</f>
        <v>2954.4</v>
      </c>
      <c r="O23" s="118"/>
      <c r="P23" s="118"/>
      <c r="Q23" s="116"/>
      <c r="R23" s="116"/>
      <c r="S23" s="116"/>
      <c r="T23" s="116"/>
      <c r="U23" s="116"/>
      <c r="V23" s="116"/>
      <c r="W23" s="116">
        <v>17052</v>
      </c>
      <c r="X23" s="116" t="s">
        <v>376</v>
      </c>
      <c r="Y23" s="121" t="s">
        <v>377</v>
      </c>
      <c r="Z23" s="120" t="s">
        <v>378</v>
      </c>
      <c r="AA23" s="119" t="s">
        <v>327</v>
      </c>
    </row>
    <row r="24" s="100" customFormat="1" ht="177" customHeight="1" spans="1:27">
      <c r="A24" s="116">
        <v>15</v>
      </c>
      <c r="B24" s="116" t="s">
        <v>379</v>
      </c>
      <c r="C24" s="116" t="s">
        <v>380</v>
      </c>
      <c r="D24" s="116" t="s">
        <v>33</v>
      </c>
      <c r="E24" s="116" t="s">
        <v>211</v>
      </c>
      <c r="F24" s="116" t="s">
        <v>38</v>
      </c>
      <c r="G24" s="116" t="s">
        <v>381</v>
      </c>
      <c r="H24" s="117" t="s">
        <v>382</v>
      </c>
      <c r="I24" s="116" t="s">
        <v>383</v>
      </c>
      <c r="J24" s="116">
        <v>28199</v>
      </c>
      <c r="K24" s="118">
        <f t="shared" si="4"/>
        <v>1127.96</v>
      </c>
      <c r="L24" s="118">
        <f t="shared" si="5"/>
        <v>1127.96</v>
      </c>
      <c r="M24" s="118"/>
      <c r="N24" s="118">
        <f>J24*0.04</f>
        <v>1127.96</v>
      </c>
      <c r="O24" s="118"/>
      <c r="P24" s="118"/>
      <c r="Q24" s="116"/>
      <c r="R24" s="116"/>
      <c r="S24" s="116"/>
      <c r="T24" s="116"/>
      <c r="U24" s="116"/>
      <c r="V24" s="116"/>
      <c r="W24" s="116">
        <v>20052</v>
      </c>
      <c r="X24" s="116" t="s">
        <v>376</v>
      </c>
      <c r="Y24" s="121" t="s">
        <v>377</v>
      </c>
      <c r="Z24" s="120" t="s">
        <v>378</v>
      </c>
      <c r="AA24" s="119" t="s">
        <v>327</v>
      </c>
    </row>
    <row r="25" s="100" customFormat="1" ht="187" customHeight="1" spans="1:27">
      <c r="A25" s="116">
        <v>16</v>
      </c>
      <c r="B25" s="116" t="s">
        <v>384</v>
      </c>
      <c r="C25" s="116" t="s">
        <v>385</v>
      </c>
      <c r="D25" s="116" t="s">
        <v>33</v>
      </c>
      <c r="E25" s="116" t="s">
        <v>211</v>
      </c>
      <c r="F25" s="116" t="s">
        <v>38</v>
      </c>
      <c r="G25" s="116" t="s">
        <v>386</v>
      </c>
      <c r="H25" s="117" t="s">
        <v>387</v>
      </c>
      <c r="I25" s="116" t="s">
        <v>375</v>
      </c>
      <c r="J25" s="116">
        <v>18282</v>
      </c>
      <c r="K25" s="118">
        <f t="shared" si="4"/>
        <v>5484.6</v>
      </c>
      <c r="L25" s="118">
        <f t="shared" si="5"/>
        <v>5484.6</v>
      </c>
      <c r="M25" s="118">
        <f>J25*0.3</f>
        <v>5484.6</v>
      </c>
      <c r="N25" s="118"/>
      <c r="O25" s="118"/>
      <c r="P25" s="118"/>
      <c r="Q25" s="116"/>
      <c r="R25" s="116"/>
      <c r="S25" s="116"/>
      <c r="T25" s="116"/>
      <c r="U25" s="116"/>
      <c r="V25" s="116"/>
      <c r="W25" s="116">
        <v>39960</v>
      </c>
      <c r="X25" s="116" t="s">
        <v>376</v>
      </c>
      <c r="Y25" s="121" t="s">
        <v>377</v>
      </c>
      <c r="Z25" s="120" t="s">
        <v>378</v>
      </c>
      <c r="AA25" s="119" t="s">
        <v>327</v>
      </c>
    </row>
    <row r="26" s="100" customFormat="1" ht="192" customHeight="1" spans="1:27">
      <c r="A26" s="116">
        <v>17</v>
      </c>
      <c r="B26" s="116" t="s">
        <v>388</v>
      </c>
      <c r="C26" s="116" t="s">
        <v>389</v>
      </c>
      <c r="D26" s="116" t="s">
        <v>33</v>
      </c>
      <c r="E26" s="116" t="s">
        <v>211</v>
      </c>
      <c r="F26" s="116" t="s">
        <v>38</v>
      </c>
      <c r="G26" s="116" t="s">
        <v>386</v>
      </c>
      <c r="H26" s="117" t="s">
        <v>390</v>
      </c>
      <c r="I26" s="116" t="s">
        <v>383</v>
      </c>
      <c r="J26" s="116">
        <v>102788</v>
      </c>
      <c r="K26" s="118">
        <f t="shared" si="4"/>
        <v>3083.64</v>
      </c>
      <c r="L26" s="118">
        <f t="shared" si="5"/>
        <v>3083.64</v>
      </c>
      <c r="M26" s="118">
        <f>J26*0.03</f>
        <v>3083.64</v>
      </c>
      <c r="N26" s="118"/>
      <c r="O26" s="118"/>
      <c r="P26" s="118"/>
      <c r="Q26" s="116"/>
      <c r="R26" s="116"/>
      <c r="S26" s="116"/>
      <c r="T26" s="116"/>
      <c r="U26" s="116"/>
      <c r="V26" s="116"/>
      <c r="W26" s="116">
        <v>62336</v>
      </c>
      <c r="X26" s="116" t="s">
        <v>376</v>
      </c>
      <c r="Y26" s="121" t="s">
        <v>377</v>
      </c>
      <c r="Z26" s="120" t="s">
        <v>378</v>
      </c>
      <c r="AA26" s="119" t="s">
        <v>327</v>
      </c>
    </row>
    <row r="27" s="100" customFormat="1" ht="167" customHeight="1" spans="1:27">
      <c r="A27" s="116">
        <v>18</v>
      </c>
      <c r="B27" s="116" t="s">
        <v>391</v>
      </c>
      <c r="C27" s="116" t="s">
        <v>392</v>
      </c>
      <c r="D27" s="116" t="s">
        <v>33</v>
      </c>
      <c r="E27" s="116" t="s">
        <v>211</v>
      </c>
      <c r="F27" s="116" t="s">
        <v>38</v>
      </c>
      <c r="G27" s="116" t="s">
        <v>393</v>
      </c>
      <c r="H27" s="117" t="s">
        <v>394</v>
      </c>
      <c r="I27" s="116" t="s">
        <v>395</v>
      </c>
      <c r="J27" s="116">
        <v>220982</v>
      </c>
      <c r="K27" s="118">
        <f t="shared" si="4"/>
        <v>220.982</v>
      </c>
      <c r="L27" s="118">
        <f t="shared" si="5"/>
        <v>220.982</v>
      </c>
      <c r="M27" s="118"/>
      <c r="N27" s="118">
        <f t="shared" ref="N27:N30" si="6">J27*0.001</f>
        <v>220.982</v>
      </c>
      <c r="O27" s="118"/>
      <c r="P27" s="118"/>
      <c r="Q27" s="116"/>
      <c r="R27" s="116"/>
      <c r="S27" s="116"/>
      <c r="T27" s="116"/>
      <c r="U27" s="116"/>
      <c r="V27" s="116"/>
      <c r="W27" s="116">
        <v>20210</v>
      </c>
      <c r="X27" s="116" t="s">
        <v>376</v>
      </c>
      <c r="Y27" s="121" t="s">
        <v>377</v>
      </c>
      <c r="Z27" s="120" t="s">
        <v>358</v>
      </c>
      <c r="AA27" s="119" t="s">
        <v>327</v>
      </c>
    </row>
    <row r="28" s="100" customFormat="1" ht="139" customHeight="1" spans="1:27">
      <c r="A28" s="116">
        <v>19</v>
      </c>
      <c r="B28" s="116" t="s">
        <v>396</v>
      </c>
      <c r="C28" s="116" t="s">
        <v>397</v>
      </c>
      <c r="D28" s="116" t="s">
        <v>33</v>
      </c>
      <c r="E28" s="116" t="s">
        <v>211</v>
      </c>
      <c r="F28" s="116" t="s">
        <v>38</v>
      </c>
      <c r="G28" s="116" t="s">
        <v>398</v>
      </c>
      <c r="H28" s="117" t="s">
        <v>399</v>
      </c>
      <c r="I28" s="116" t="s">
        <v>395</v>
      </c>
      <c r="J28" s="116">
        <v>37800</v>
      </c>
      <c r="K28" s="118">
        <f t="shared" si="4"/>
        <v>37.8</v>
      </c>
      <c r="L28" s="118">
        <f t="shared" si="5"/>
        <v>37.8</v>
      </c>
      <c r="M28" s="118"/>
      <c r="N28" s="118">
        <f t="shared" si="6"/>
        <v>37.8</v>
      </c>
      <c r="O28" s="118"/>
      <c r="P28" s="118"/>
      <c r="Q28" s="116"/>
      <c r="R28" s="116"/>
      <c r="S28" s="116"/>
      <c r="T28" s="116"/>
      <c r="U28" s="116"/>
      <c r="V28" s="116"/>
      <c r="W28" s="116">
        <v>3984</v>
      </c>
      <c r="X28" s="116" t="s">
        <v>376</v>
      </c>
      <c r="Y28" s="121" t="s">
        <v>377</v>
      </c>
      <c r="Z28" s="120" t="s">
        <v>358</v>
      </c>
      <c r="AA28" s="119" t="s">
        <v>327</v>
      </c>
    </row>
    <row r="29" s="100" customFormat="1" ht="142" customHeight="1" spans="1:27">
      <c r="A29" s="116">
        <v>20</v>
      </c>
      <c r="B29" s="116" t="s">
        <v>400</v>
      </c>
      <c r="C29" s="116" t="s">
        <v>401</v>
      </c>
      <c r="D29" s="116" t="s">
        <v>33</v>
      </c>
      <c r="E29" s="116" t="s">
        <v>211</v>
      </c>
      <c r="F29" s="116" t="s">
        <v>38</v>
      </c>
      <c r="G29" s="116" t="s">
        <v>402</v>
      </c>
      <c r="H29" s="117" t="s">
        <v>403</v>
      </c>
      <c r="I29" s="116" t="s">
        <v>395</v>
      </c>
      <c r="J29" s="116">
        <v>44766</v>
      </c>
      <c r="K29" s="118">
        <f t="shared" si="4"/>
        <v>44.766</v>
      </c>
      <c r="L29" s="118">
        <f t="shared" si="5"/>
        <v>44.766</v>
      </c>
      <c r="M29" s="118"/>
      <c r="N29" s="118">
        <f t="shared" si="6"/>
        <v>44.766</v>
      </c>
      <c r="O29" s="118"/>
      <c r="P29" s="118"/>
      <c r="Q29" s="116"/>
      <c r="R29" s="116"/>
      <c r="S29" s="116"/>
      <c r="T29" s="116"/>
      <c r="U29" s="116"/>
      <c r="V29" s="116"/>
      <c r="W29" s="116">
        <v>4444</v>
      </c>
      <c r="X29" s="116" t="s">
        <v>376</v>
      </c>
      <c r="Y29" s="121" t="s">
        <v>377</v>
      </c>
      <c r="Z29" s="120" t="s">
        <v>358</v>
      </c>
      <c r="AA29" s="119" t="s">
        <v>327</v>
      </c>
    </row>
    <row r="30" s="100" customFormat="1" ht="130" customHeight="1" spans="1:27">
      <c r="A30" s="116">
        <v>21</v>
      </c>
      <c r="B30" s="116" t="s">
        <v>404</v>
      </c>
      <c r="C30" s="116" t="s">
        <v>405</v>
      </c>
      <c r="D30" s="116" t="s">
        <v>33</v>
      </c>
      <c r="E30" s="116" t="s">
        <v>211</v>
      </c>
      <c r="F30" s="116" t="s">
        <v>38</v>
      </c>
      <c r="G30" s="116" t="s">
        <v>406</v>
      </c>
      <c r="H30" s="117" t="s">
        <v>407</v>
      </c>
      <c r="I30" s="116" t="s">
        <v>395</v>
      </c>
      <c r="J30" s="116">
        <v>92033</v>
      </c>
      <c r="K30" s="118">
        <f t="shared" si="4"/>
        <v>92.033</v>
      </c>
      <c r="L30" s="118">
        <f t="shared" si="5"/>
        <v>92.033</v>
      </c>
      <c r="M30" s="118"/>
      <c r="N30" s="118">
        <f t="shared" si="6"/>
        <v>92.033</v>
      </c>
      <c r="O30" s="118"/>
      <c r="P30" s="118"/>
      <c r="Q30" s="116"/>
      <c r="R30" s="116"/>
      <c r="S30" s="116"/>
      <c r="T30" s="116"/>
      <c r="U30" s="116"/>
      <c r="V30" s="116"/>
      <c r="W30" s="116">
        <v>5612</v>
      </c>
      <c r="X30" s="116" t="s">
        <v>376</v>
      </c>
      <c r="Y30" s="121" t="s">
        <v>377</v>
      </c>
      <c r="Z30" s="120" t="s">
        <v>358</v>
      </c>
      <c r="AA30" s="119" t="s">
        <v>327</v>
      </c>
    </row>
    <row r="31" s="100" customFormat="1" ht="134" customHeight="1" spans="1:27">
      <c r="A31" s="116">
        <v>22</v>
      </c>
      <c r="B31" s="116" t="s">
        <v>408</v>
      </c>
      <c r="C31" s="116" t="s">
        <v>409</v>
      </c>
      <c r="D31" s="116" t="s">
        <v>33</v>
      </c>
      <c r="E31" s="116" t="s">
        <v>211</v>
      </c>
      <c r="F31" s="116" t="s">
        <v>38</v>
      </c>
      <c r="G31" s="116" t="s">
        <v>410</v>
      </c>
      <c r="H31" s="117" t="s">
        <v>411</v>
      </c>
      <c r="I31" s="116" t="s">
        <v>165</v>
      </c>
      <c r="J31" s="116">
        <v>286</v>
      </c>
      <c r="K31" s="118">
        <f t="shared" si="4"/>
        <v>28.6</v>
      </c>
      <c r="L31" s="118">
        <f t="shared" si="5"/>
        <v>28.6</v>
      </c>
      <c r="M31" s="118"/>
      <c r="N31" s="118">
        <f t="shared" ref="N31:N33" si="7">J31*0.1</f>
        <v>28.6</v>
      </c>
      <c r="O31" s="118"/>
      <c r="P31" s="118"/>
      <c r="Q31" s="116"/>
      <c r="R31" s="116"/>
      <c r="S31" s="116"/>
      <c r="T31" s="116"/>
      <c r="U31" s="116"/>
      <c r="V31" s="116"/>
      <c r="W31" s="116">
        <v>1204</v>
      </c>
      <c r="X31" s="116" t="s">
        <v>376</v>
      </c>
      <c r="Y31" s="121" t="s">
        <v>377</v>
      </c>
      <c r="Z31" s="120" t="s">
        <v>378</v>
      </c>
      <c r="AA31" s="119" t="s">
        <v>327</v>
      </c>
    </row>
    <row r="32" s="100" customFormat="1" ht="125" customHeight="1" spans="1:27">
      <c r="A32" s="116">
        <v>23</v>
      </c>
      <c r="B32" s="116" t="s">
        <v>412</v>
      </c>
      <c r="C32" s="116" t="s">
        <v>413</v>
      </c>
      <c r="D32" s="116" t="s">
        <v>33</v>
      </c>
      <c r="E32" s="116" t="s">
        <v>211</v>
      </c>
      <c r="F32" s="116" t="s">
        <v>38</v>
      </c>
      <c r="G32" s="116" t="s">
        <v>414</v>
      </c>
      <c r="H32" s="117" t="s">
        <v>415</v>
      </c>
      <c r="I32" s="116" t="s">
        <v>165</v>
      </c>
      <c r="J32" s="116">
        <v>153</v>
      </c>
      <c r="K32" s="118">
        <f t="shared" si="4"/>
        <v>15.3</v>
      </c>
      <c r="L32" s="118">
        <f t="shared" si="5"/>
        <v>15.3</v>
      </c>
      <c r="M32" s="118"/>
      <c r="N32" s="118">
        <f t="shared" si="7"/>
        <v>15.3</v>
      </c>
      <c r="O32" s="118"/>
      <c r="P32" s="118"/>
      <c r="Q32" s="116"/>
      <c r="R32" s="116"/>
      <c r="S32" s="116"/>
      <c r="T32" s="116"/>
      <c r="U32" s="116"/>
      <c r="V32" s="116"/>
      <c r="W32" s="116">
        <v>544</v>
      </c>
      <c r="X32" s="116" t="s">
        <v>376</v>
      </c>
      <c r="Y32" s="121" t="s">
        <v>377</v>
      </c>
      <c r="Z32" s="120" t="s">
        <v>378</v>
      </c>
      <c r="AA32" s="119" t="s">
        <v>327</v>
      </c>
    </row>
    <row r="33" s="100" customFormat="1" ht="128" customHeight="1" spans="1:27">
      <c r="A33" s="116">
        <v>24</v>
      </c>
      <c r="B33" s="116" t="s">
        <v>416</v>
      </c>
      <c r="C33" s="116" t="s">
        <v>417</v>
      </c>
      <c r="D33" s="116" t="s">
        <v>33</v>
      </c>
      <c r="E33" s="116" t="s">
        <v>211</v>
      </c>
      <c r="F33" s="116" t="s">
        <v>38</v>
      </c>
      <c r="G33" s="116" t="s">
        <v>418</v>
      </c>
      <c r="H33" s="117" t="s">
        <v>419</v>
      </c>
      <c r="I33" s="116" t="s">
        <v>165</v>
      </c>
      <c r="J33" s="116">
        <v>2485</v>
      </c>
      <c r="K33" s="118">
        <f t="shared" si="4"/>
        <v>248.5</v>
      </c>
      <c r="L33" s="118">
        <f t="shared" si="5"/>
        <v>248.5</v>
      </c>
      <c r="M33" s="118"/>
      <c r="N33" s="118">
        <f t="shared" si="7"/>
        <v>248.5</v>
      </c>
      <c r="O33" s="118"/>
      <c r="P33" s="118"/>
      <c r="Q33" s="116"/>
      <c r="R33" s="116"/>
      <c r="S33" s="116"/>
      <c r="T33" s="116"/>
      <c r="U33" s="116"/>
      <c r="V33" s="116"/>
      <c r="W33" s="116">
        <v>9188</v>
      </c>
      <c r="X33" s="116" t="s">
        <v>376</v>
      </c>
      <c r="Y33" s="121" t="s">
        <v>377</v>
      </c>
      <c r="Z33" s="120" t="s">
        <v>378</v>
      </c>
      <c r="AA33" s="119" t="s">
        <v>327</v>
      </c>
    </row>
    <row r="34" s="100" customFormat="1" ht="150" customHeight="1" spans="1:27">
      <c r="A34" s="116">
        <v>25</v>
      </c>
      <c r="B34" s="116" t="s">
        <v>420</v>
      </c>
      <c r="C34" s="116" t="s">
        <v>421</v>
      </c>
      <c r="D34" s="116" t="s">
        <v>33</v>
      </c>
      <c r="E34" s="116" t="s">
        <v>211</v>
      </c>
      <c r="F34" s="116" t="s">
        <v>38</v>
      </c>
      <c r="G34" s="116" t="s">
        <v>422</v>
      </c>
      <c r="H34" s="117" t="s">
        <v>423</v>
      </c>
      <c r="I34" s="116" t="s">
        <v>424</v>
      </c>
      <c r="J34" s="116">
        <v>57472.1</v>
      </c>
      <c r="K34" s="118">
        <f t="shared" si="4"/>
        <v>287.3605</v>
      </c>
      <c r="L34" s="118">
        <f t="shared" si="5"/>
        <v>287.3605</v>
      </c>
      <c r="M34" s="118"/>
      <c r="N34" s="118">
        <f>J34*0.005</f>
        <v>287.3605</v>
      </c>
      <c r="O34" s="118"/>
      <c r="P34" s="118"/>
      <c r="Q34" s="116"/>
      <c r="R34" s="116"/>
      <c r="S34" s="116"/>
      <c r="T34" s="116"/>
      <c r="U34" s="116"/>
      <c r="V34" s="116"/>
      <c r="W34" s="116">
        <v>9468</v>
      </c>
      <c r="X34" s="116" t="s">
        <v>376</v>
      </c>
      <c r="Y34" s="121" t="s">
        <v>377</v>
      </c>
      <c r="Z34" s="120" t="s">
        <v>378</v>
      </c>
      <c r="AA34" s="119" t="s">
        <v>337</v>
      </c>
    </row>
    <row r="35" s="100" customFormat="1" ht="200" customHeight="1" spans="1:27">
      <c r="A35" s="116">
        <v>26</v>
      </c>
      <c r="B35" s="116" t="s">
        <v>425</v>
      </c>
      <c r="C35" s="116" t="s">
        <v>426</v>
      </c>
      <c r="D35" s="116" t="s">
        <v>33</v>
      </c>
      <c r="E35" s="116" t="s">
        <v>211</v>
      </c>
      <c r="F35" s="116" t="s">
        <v>38</v>
      </c>
      <c r="G35" s="116" t="s">
        <v>427</v>
      </c>
      <c r="H35" s="117" t="s">
        <v>428</v>
      </c>
      <c r="I35" s="116" t="s">
        <v>41</v>
      </c>
      <c r="J35" s="116">
        <v>140202.86</v>
      </c>
      <c r="K35" s="118">
        <f t="shared" si="4"/>
        <v>560.81144</v>
      </c>
      <c r="L35" s="118">
        <f t="shared" si="5"/>
        <v>560.81144</v>
      </c>
      <c r="M35" s="118"/>
      <c r="N35" s="118">
        <f>J35*0.004</f>
        <v>560.81144</v>
      </c>
      <c r="O35" s="118"/>
      <c r="P35" s="118"/>
      <c r="Q35" s="116"/>
      <c r="R35" s="116"/>
      <c r="S35" s="116"/>
      <c r="T35" s="116"/>
      <c r="U35" s="116"/>
      <c r="V35" s="116"/>
      <c r="W35" s="116">
        <v>63492</v>
      </c>
      <c r="X35" s="116" t="s">
        <v>311</v>
      </c>
      <c r="Y35" s="116" t="s">
        <v>312</v>
      </c>
      <c r="Z35" s="116" t="s">
        <v>313</v>
      </c>
      <c r="AA35" s="119" t="s">
        <v>327</v>
      </c>
    </row>
    <row r="36" s="100" customFormat="1" ht="100" customHeight="1" spans="1:27">
      <c r="A36" s="116">
        <v>27</v>
      </c>
      <c r="B36" s="116" t="s">
        <v>35</v>
      </c>
      <c r="C36" s="116" t="s">
        <v>429</v>
      </c>
      <c r="D36" s="116" t="s">
        <v>33</v>
      </c>
      <c r="E36" s="116" t="s">
        <v>430</v>
      </c>
      <c r="F36" s="119" t="s">
        <v>38</v>
      </c>
      <c r="G36" s="119" t="s">
        <v>277</v>
      </c>
      <c r="H36" s="122" t="s">
        <v>431</v>
      </c>
      <c r="I36" s="119" t="s">
        <v>432</v>
      </c>
      <c r="J36" s="119">
        <f>32673+10185</f>
        <v>42858</v>
      </c>
      <c r="K36" s="118">
        <f t="shared" si="4"/>
        <v>1000</v>
      </c>
      <c r="L36" s="118">
        <f t="shared" si="5"/>
        <v>1000</v>
      </c>
      <c r="M36" s="123">
        <v>1000</v>
      </c>
      <c r="N36" s="123"/>
      <c r="O36" s="123"/>
      <c r="P36" s="123"/>
      <c r="Q36" s="119"/>
      <c r="R36" s="119"/>
      <c r="S36" s="119"/>
      <c r="T36" s="119"/>
      <c r="U36" s="119"/>
      <c r="V36" s="119"/>
      <c r="W36" s="119">
        <v>9415</v>
      </c>
      <c r="X36" s="119" t="s">
        <v>161</v>
      </c>
      <c r="Y36" s="124" t="s">
        <v>433</v>
      </c>
      <c r="Z36" s="116"/>
      <c r="AA36" s="119" t="s">
        <v>327</v>
      </c>
    </row>
    <row r="37" s="101" customFormat="1" ht="43" customHeight="1" spans="1:27">
      <c r="A37" s="125" t="s">
        <v>434</v>
      </c>
      <c r="B37" s="125"/>
      <c r="C37" s="125"/>
      <c r="D37" s="126"/>
      <c r="E37" s="127"/>
      <c r="F37" s="127"/>
      <c r="G37" s="127"/>
      <c r="H37" s="127">
        <v>28</v>
      </c>
      <c r="I37" s="128"/>
      <c r="J37" s="128"/>
      <c r="K37" s="129">
        <f t="shared" ref="K37:V37" si="8">SUM(K38:K65)</f>
        <v>24792.246</v>
      </c>
      <c r="L37" s="129">
        <f t="shared" si="8"/>
        <v>24630.366</v>
      </c>
      <c r="M37" s="129">
        <f t="shared" si="8"/>
        <v>24630.366</v>
      </c>
      <c r="N37" s="129">
        <f t="shared" si="8"/>
        <v>0</v>
      </c>
      <c r="O37" s="129">
        <f t="shared" si="8"/>
        <v>0</v>
      </c>
      <c r="P37" s="129">
        <f t="shared" si="8"/>
        <v>0</v>
      </c>
      <c r="Q37" s="129">
        <f t="shared" si="8"/>
        <v>0</v>
      </c>
      <c r="R37" s="129">
        <f t="shared" si="8"/>
        <v>0</v>
      </c>
      <c r="S37" s="129">
        <f t="shared" si="8"/>
        <v>0</v>
      </c>
      <c r="T37" s="129">
        <f t="shared" si="8"/>
        <v>0</v>
      </c>
      <c r="U37" s="129">
        <f t="shared" si="8"/>
        <v>161.88</v>
      </c>
      <c r="V37" s="129">
        <f t="shared" si="8"/>
        <v>0</v>
      </c>
      <c r="W37" s="127"/>
      <c r="X37" s="130"/>
      <c r="Y37" s="130"/>
      <c r="Z37" s="130"/>
      <c r="AA37" s="131"/>
    </row>
    <row r="38" s="100" customFormat="1" ht="127.5" spans="1:27">
      <c r="A38" s="116">
        <v>28</v>
      </c>
      <c r="B38" s="116" t="s">
        <v>435</v>
      </c>
      <c r="C38" s="116" t="s">
        <v>36</v>
      </c>
      <c r="D38" s="116" t="s">
        <v>33</v>
      </c>
      <c r="E38" s="116" t="s">
        <v>37</v>
      </c>
      <c r="F38" s="116" t="s">
        <v>38</v>
      </c>
      <c r="G38" s="116" t="s">
        <v>42</v>
      </c>
      <c r="H38" s="117" t="s">
        <v>436</v>
      </c>
      <c r="I38" s="116" t="s">
        <v>41</v>
      </c>
      <c r="J38" s="116">
        <v>3500</v>
      </c>
      <c r="K38" s="118">
        <f t="shared" ref="K38:K65" si="9">SUM(L38,T38,U38,V38)</f>
        <v>630</v>
      </c>
      <c r="L38" s="118">
        <f t="shared" ref="L38:L65" si="10">SUM(M38:S38)</f>
        <v>630</v>
      </c>
      <c r="M38" s="118">
        <f t="shared" ref="M38:M53" si="11">J38*0.18</f>
        <v>630</v>
      </c>
      <c r="N38" s="118"/>
      <c r="O38" s="118"/>
      <c r="P38" s="118"/>
      <c r="Q38" s="116"/>
      <c r="R38" s="116"/>
      <c r="S38" s="116"/>
      <c r="T38" s="116"/>
      <c r="U38" s="116"/>
      <c r="V38" s="116"/>
      <c r="W38" s="116">
        <v>500</v>
      </c>
      <c r="X38" s="116" t="s">
        <v>44</v>
      </c>
      <c r="Y38" s="116" t="s">
        <v>45</v>
      </c>
      <c r="Z38" s="116"/>
      <c r="AA38" s="119" t="s">
        <v>327</v>
      </c>
    </row>
    <row r="39" s="100" customFormat="1" ht="127.5" spans="1:27">
      <c r="A39" s="116">
        <v>29</v>
      </c>
      <c r="B39" s="116" t="s">
        <v>46</v>
      </c>
      <c r="C39" s="116" t="s">
        <v>437</v>
      </c>
      <c r="D39" s="116" t="s">
        <v>33</v>
      </c>
      <c r="E39" s="116" t="s">
        <v>37</v>
      </c>
      <c r="F39" s="116" t="s">
        <v>38</v>
      </c>
      <c r="G39" s="116" t="s">
        <v>190</v>
      </c>
      <c r="H39" s="117" t="s">
        <v>438</v>
      </c>
      <c r="I39" s="116" t="s">
        <v>41</v>
      </c>
      <c r="J39" s="116">
        <v>5975.7</v>
      </c>
      <c r="K39" s="118">
        <f t="shared" si="9"/>
        <v>1075.626</v>
      </c>
      <c r="L39" s="118">
        <f t="shared" si="10"/>
        <v>1075.626</v>
      </c>
      <c r="M39" s="118">
        <f t="shared" si="11"/>
        <v>1075.626</v>
      </c>
      <c r="N39" s="118"/>
      <c r="O39" s="118"/>
      <c r="P39" s="118"/>
      <c r="Q39" s="116"/>
      <c r="R39" s="116"/>
      <c r="S39" s="116"/>
      <c r="T39" s="116"/>
      <c r="U39" s="116"/>
      <c r="V39" s="116"/>
      <c r="W39" s="116">
        <v>1500</v>
      </c>
      <c r="X39" s="116" t="s">
        <v>44</v>
      </c>
      <c r="Y39" s="116" t="s">
        <v>45</v>
      </c>
      <c r="Z39" s="116"/>
      <c r="AA39" s="119" t="s">
        <v>327</v>
      </c>
    </row>
    <row r="40" s="100" customFormat="1" ht="127.5" spans="1:27">
      <c r="A40" s="116">
        <v>30</v>
      </c>
      <c r="B40" s="116" t="s">
        <v>51</v>
      </c>
      <c r="C40" s="116" t="s">
        <v>47</v>
      </c>
      <c r="D40" s="116" t="s">
        <v>33</v>
      </c>
      <c r="E40" s="116" t="s">
        <v>37</v>
      </c>
      <c r="F40" s="116" t="s">
        <v>38</v>
      </c>
      <c r="G40" s="116" t="s">
        <v>48</v>
      </c>
      <c r="H40" s="117" t="s">
        <v>439</v>
      </c>
      <c r="I40" s="116" t="s">
        <v>41</v>
      </c>
      <c r="J40" s="116">
        <v>7600</v>
      </c>
      <c r="K40" s="118">
        <f t="shared" si="9"/>
        <v>1529.88</v>
      </c>
      <c r="L40" s="118">
        <f t="shared" si="10"/>
        <v>1368</v>
      </c>
      <c r="M40" s="118">
        <f t="shared" si="11"/>
        <v>1368</v>
      </c>
      <c r="N40" s="118"/>
      <c r="O40" s="118"/>
      <c r="P40" s="118"/>
      <c r="Q40" s="116"/>
      <c r="R40" s="116"/>
      <c r="S40" s="116"/>
      <c r="T40" s="116"/>
      <c r="U40" s="116">
        <f>94.88+67</f>
        <v>161.88</v>
      </c>
      <c r="V40" s="116"/>
      <c r="W40" s="116">
        <v>1600</v>
      </c>
      <c r="X40" s="116" t="s">
        <v>44</v>
      </c>
      <c r="Y40" s="116" t="s">
        <v>45</v>
      </c>
      <c r="Z40" s="116"/>
      <c r="AA40" s="119" t="s">
        <v>327</v>
      </c>
    </row>
    <row r="41" s="100" customFormat="1" ht="127.5" spans="1:27">
      <c r="A41" s="116">
        <v>31</v>
      </c>
      <c r="B41" s="116" t="s">
        <v>440</v>
      </c>
      <c r="C41" s="116" t="s">
        <v>52</v>
      </c>
      <c r="D41" s="116" t="s">
        <v>33</v>
      </c>
      <c r="E41" s="116" t="s">
        <v>37</v>
      </c>
      <c r="F41" s="116" t="s">
        <v>38</v>
      </c>
      <c r="G41" s="116" t="s">
        <v>53</v>
      </c>
      <c r="H41" s="117" t="s">
        <v>441</v>
      </c>
      <c r="I41" s="116" t="s">
        <v>41</v>
      </c>
      <c r="J41" s="116">
        <v>6560</v>
      </c>
      <c r="K41" s="118">
        <f t="shared" si="9"/>
        <v>1180.8</v>
      </c>
      <c r="L41" s="118">
        <f t="shared" si="10"/>
        <v>1180.8</v>
      </c>
      <c r="M41" s="118">
        <f t="shared" si="11"/>
        <v>1180.8</v>
      </c>
      <c r="N41" s="118"/>
      <c r="O41" s="118"/>
      <c r="P41" s="118"/>
      <c r="Q41" s="116"/>
      <c r="R41" s="116"/>
      <c r="S41" s="116"/>
      <c r="T41" s="116"/>
      <c r="U41" s="116"/>
      <c r="V41" s="116"/>
      <c r="W41" s="116">
        <v>700</v>
      </c>
      <c r="X41" s="116" t="s">
        <v>44</v>
      </c>
      <c r="Y41" s="116" t="s">
        <v>45</v>
      </c>
      <c r="Z41" s="116"/>
      <c r="AA41" s="119" t="s">
        <v>327</v>
      </c>
    </row>
    <row r="42" s="100" customFormat="1" ht="127.5" spans="1:27">
      <c r="A42" s="116">
        <v>32</v>
      </c>
      <c r="B42" s="116" t="s">
        <v>126</v>
      </c>
      <c r="C42" s="116" t="s">
        <v>442</v>
      </c>
      <c r="D42" s="116" t="s">
        <v>33</v>
      </c>
      <c r="E42" s="116" t="s">
        <v>37</v>
      </c>
      <c r="F42" s="116" t="s">
        <v>38</v>
      </c>
      <c r="G42" s="116" t="s">
        <v>173</v>
      </c>
      <c r="H42" s="117" t="s">
        <v>443</v>
      </c>
      <c r="I42" s="116" t="s">
        <v>41</v>
      </c>
      <c r="J42" s="116">
        <v>6937</v>
      </c>
      <c r="K42" s="118">
        <f t="shared" si="9"/>
        <v>1248.66</v>
      </c>
      <c r="L42" s="118">
        <f t="shared" si="10"/>
        <v>1248.66</v>
      </c>
      <c r="M42" s="118">
        <f t="shared" si="11"/>
        <v>1248.66</v>
      </c>
      <c r="N42" s="118"/>
      <c r="O42" s="118"/>
      <c r="P42" s="118"/>
      <c r="Q42" s="116"/>
      <c r="R42" s="116"/>
      <c r="S42" s="116"/>
      <c r="T42" s="116"/>
      <c r="U42" s="116"/>
      <c r="V42" s="116"/>
      <c r="W42" s="116">
        <v>1800</v>
      </c>
      <c r="X42" s="116" t="s">
        <v>44</v>
      </c>
      <c r="Y42" s="116" t="s">
        <v>45</v>
      </c>
      <c r="Z42" s="116"/>
      <c r="AA42" s="119" t="s">
        <v>327</v>
      </c>
    </row>
    <row r="43" s="100" customFormat="1" ht="127.5" spans="1:27">
      <c r="A43" s="116">
        <v>33</v>
      </c>
      <c r="B43" s="116" t="s">
        <v>56</v>
      </c>
      <c r="C43" s="116" t="s">
        <v>127</v>
      </c>
      <c r="D43" s="116" t="s">
        <v>33</v>
      </c>
      <c r="E43" s="116" t="s">
        <v>37</v>
      </c>
      <c r="F43" s="116" t="s">
        <v>38</v>
      </c>
      <c r="G43" s="116" t="s">
        <v>130</v>
      </c>
      <c r="H43" s="117" t="s">
        <v>444</v>
      </c>
      <c r="I43" s="116" t="s">
        <v>41</v>
      </c>
      <c r="J43" s="116">
        <v>1500</v>
      </c>
      <c r="K43" s="118">
        <f t="shared" si="9"/>
        <v>270</v>
      </c>
      <c r="L43" s="118">
        <f t="shared" si="10"/>
        <v>270</v>
      </c>
      <c r="M43" s="118">
        <f t="shared" si="11"/>
        <v>270</v>
      </c>
      <c r="N43" s="118"/>
      <c r="O43" s="118"/>
      <c r="P43" s="118"/>
      <c r="Q43" s="116"/>
      <c r="R43" s="116"/>
      <c r="S43" s="116"/>
      <c r="T43" s="116"/>
      <c r="U43" s="116"/>
      <c r="V43" s="116"/>
      <c r="W43" s="116">
        <v>600</v>
      </c>
      <c r="X43" s="116" t="s">
        <v>44</v>
      </c>
      <c r="Y43" s="116" t="s">
        <v>45</v>
      </c>
      <c r="Z43" s="116"/>
      <c r="AA43" s="119" t="s">
        <v>327</v>
      </c>
    </row>
    <row r="44" s="100" customFormat="1" ht="127.5" spans="1:27">
      <c r="A44" s="116">
        <v>34</v>
      </c>
      <c r="B44" s="116" t="s">
        <v>61</v>
      </c>
      <c r="C44" s="116" t="s">
        <v>57</v>
      </c>
      <c r="D44" s="116" t="s">
        <v>33</v>
      </c>
      <c r="E44" s="116" t="s">
        <v>37</v>
      </c>
      <c r="F44" s="116" t="s">
        <v>38</v>
      </c>
      <c r="G44" s="116" t="s">
        <v>58</v>
      </c>
      <c r="H44" s="117" t="s">
        <v>445</v>
      </c>
      <c r="I44" s="116" t="s">
        <v>41</v>
      </c>
      <c r="J44" s="116">
        <v>4900</v>
      </c>
      <c r="K44" s="118">
        <f t="shared" si="9"/>
        <v>882</v>
      </c>
      <c r="L44" s="118">
        <f t="shared" si="10"/>
        <v>882</v>
      </c>
      <c r="M44" s="118">
        <f t="shared" si="11"/>
        <v>882</v>
      </c>
      <c r="N44" s="118"/>
      <c r="O44" s="118"/>
      <c r="P44" s="118"/>
      <c r="Q44" s="116"/>
      <c r="R44" s="116"/>
      <c r="S44" s="116"/>
      <c r="T44" s="116"/>
      <c r="U44" s="116"/>
      <c r="V44" s="116"/>
      <c r="W44" s="116">
        <v>300</v>
      </c>
      <c r="X44" s="116" t="s">
        <v>44</v>
      </c>
      <c r="Y44" s="116" t="s">
        <v>45</v>
      </c>
      <c r="Z44" s="116"/>
      <c r="AA44" s="119" t="s">
        <v>327</v>
      </c>
    </row>
    <row r="45" s="100" customFormat="1" ht="127.5" spans="1:27">
      <c r="A45" s="116">
        <v>35</v>
      </c>
      <c r="B45" s="116" t="s">
        <v>66</v>
      </c>
      <c r="C45" s="116" t="s">
        <v>62</v>
      </c>
      <c r="D45" s="116" t="s">
        <v>33</v>
      </c>
      <c r="E45" s="116" t="s">
        <v>37</v>
      </c>
      <c r="F45" s="116" t="s">
        <v>38</v>
      </c>
      <c r="G45" s="116" t="s">
        <v>63</v>
      </c>
      <c r="H45" s="117" t="s">
        <v>446</v>
      </c>
      <c r="I45" s="116" t="s">
        <v>41</v>
      </c>
      <c r="J45" s="116">
        <v>7076</v>
      </c>
      <c r="K45" s="118">
        <f t="shared" si="9"/>
        <v>1273.68</v>
      </c>
      <c r="L45" s="118">
        <f t="shared" si="10"/>
        <v>1273.68</v>
      </c>
      <c r="M45" s="118">
        <f t="shared" si="11"/>
        <v>1273.68</v>
      </c>
      <c r="N45" s="118"/>
      <c r="O45" s="118"/>
      <c r="P45" s="118"/>
      <c r="Q45" s="116"/>
      <c r="R45" s="116"/>
      <c r="S45" s="116"/>
      <c r="T45" s="116"/>
      <c r="U45" s="116"/>
      <c r="V45" s="116"/>
      <c r="W45" s="116">
        <v>1700</v>
      </c>
      <c r="X45" s="116" t="s">
        <v>44</v>
      </c>
      <c r="Y45" s="116" t="s">
        <v>45</v>
      </c>
      <c r="Z45" s="116"/>
      <c r="AA45" s="119" t="s">
        <v>327</v>
      </c>
    </row>
    <row r="46" s="100" customFormat="1" ht="127.5" spans="1:27">
      <c r="A46" s="116">
        <v>36</v>
      </c>
      <c r="B46" s="116" t="s">
        <v>71</v>
      </c>
      <c r="C46" s="116" t="s">
        <v>67</v>
      </c>
      <c r="D46" s="116" t="s">
        <v>33</v>
      </c>
      <c r="E46" s="116" t="s">
        <v>37</v>
      </c>
      <c r="F46" s="116" t="s">
        <v>38</v>
      </c>
      <c r="G46" s="116" t="s">
        <v>69</v>
      </c>
      <c r="H46" s="117" t="s">
        <v>447</v>
      </c>
      <c r="I46" s="116" t="s">
        <v>41</v>
      </c>
      <c r="J46" s="116">
        <v>4870</v>
      </c>
      <c r="K46" s="118">
        <f t="shared" si="9"/>
        <v>876.6</v>
      </c>
      <c r="L46" s="118">
        <f t="shared" si="10"/>
        <v>876.6</v>
      </c>
      <c r="M46" s="118">
        <f t="shared" si="11"/>
        <v>876.6</v>
      </c>
      <c r="N46" s="118"/>
      <c r="O46" s="118"/>
      <c r="P46" s="118"/>
      <c r="Q46" s="116"/>
      <c r="R46" s="116"/>
      <c r="S46" s="116"/>
      <c r="T46" s="116"/>
      <c r="U46" s="116"/>
      <c r="V46" s="116"/>
      <c r="W46" s="116">
        <v>876</v>
      </c>
      <c r="X46" s="116" t="s">
        <v>44</v>
      </c>
      <c r="Y46" s="116" t="s">
        <v>45</v>
      </c>
      <c r="Z46" s="116"/>
      <c r="AA46" s="119" t="s">
        <v>327</v>
      </c>
    </row>
    <row r="47" s="100" customFormat="1" ht="127.5" spans="1:27">
      <c r="A47" s="116">
        <v>37</v>
      </c>
      <c r="B47" s="116" t="s">
        <v>75</v>
      </c>
      <c r="C47" s="116" t="s">
        <v>72</v>
      </c>
      <c r="D47" s="116" t="s">
        <v>33</v>
      </c>
      <c r="E47" s="116" t="s">
        <v>37</v>
      </c>
      <c r="F47" s="116" t="s">
        <v>38</v>
      </c>
      <c r="G47" s="116" t="s">
        <v>73</v>
      </c>
      <c r="H47" s="117" t="s">
        <v>448</v>
      </c>
      <c r="I47" s="116" t="s">
        <v>41</v>
      </c>
      <c r="J47" s="116">
        <v>4350</v>
      </c>
      <c r="K47" s="118">
        <f t="shared" si="9"/>
        <v>783</v>
      </c>
      <c r="L47" s="118">
        <f t="shared" si="10"/>
        <v>783</v>
      </c>
      <c r="M47" s="118">
        <f t="shared" si="11"/>
        <v>783</v>
      </c>
      <c r="N47" s="118"/>
      <c r="O47" s="118"/>
      <c r="P47" s="118"/>
      <c r="Q47" s="116"/>
      <c r="R47" s="116"/>
      <c r="S47" s="116"/>
      <c r="T47" s="116"/>
      <c r="U47" s="116"/>
      <c r="V47" s="116"/>
      <c r="W47" s="116">
        <v>243</v>
      </c>
      <c r="X47" s="116" t="s">
        <v>44</v>
      </c>
      <c r="Y47" s="116" t="s">
        <v>45</v>
      </c>
      <c r="Z47" s="116"/>
      <c r="AA47" s="119" t="s">
        <v>327</v>
      </c>
    </row>
    <row r="48" s="100" customFormat="1" ht="127.5" spans="1:27">
      <c r="A48" s="116">
        <v>38</v>
      </c>
      <c r="B48" s="116" t="s">
        <v>80</v>
      </c>
      <c r="C48" s="116" t="s">
        <v>76</v>
      </c>
      <c r="D48" s="116" t="s">
        <v>33</v>
      </c>
      <c r="E48" s="116" t="s">
        <v>37</v>
      </c>
      <c r="F48" s="116" t="s">
        <v>38</v>
      </c>
      <c r="G48" s="116" t="s">
        <v>77</v>
      </c>
      <c r="H48" s="117" t="s">
        <v>449</v>
      </c>
      <c r="I48" s="116" t="s">
        <v>41</v>
      </c>
      <c r="J48" s="116">
        <v>4868</v>
      </c>
      <c r="K48" s="118">
        <f t="shared" si="9"/>
        <v>876.24</v>
      </c>
      <c r="L48" s="118">
        <f t="shared" si="10"/>
        <v>876.24</v>
      </c>
      <c r="M48" s="118">
        <f t="shared" si="11"/>
        <v>876.24</v>
      </c>
      <c r="N48" s="118"/>
      <c r="O48" s="118"/>
      <c r="P48" s="118"/>
      <c r="Q48" s="116"/>
      <c r="R48" s="116"/>
      <c r="S48" s="116"/>
      <c r="T48" s="116"/>
      <c r="U48" s="116"/>
      <c r="V48" s="116"/>
      <c r="W48" s="116">
        <v>516</v>
      </c>
      <c r="X48" s="116" t="s">
        <v>44</v>
      </c>
      <c r="Y48" s="116" t="s">
        <v>45</v>
      </c>
      <c r="Z48" s="116"/>
      <c r="AA48" s="119" t="s">
        <v>327</v>
      </c>
    </row>
    <row r="49" s="100" customFormat="1" ht="127.5" spans="1:27">
      <c r="A49" s="116">
        <v>39</v>
      </c>
      <c r="B49" s="116" t="s">
        <v>86</v>
      </c>
      <c r="C49" s="116" t="s">
        <v>81</v>
      </c>
      <c r="D49" s="116" t="s">
        <v>33</v>
      </c>
      <c r="E49" s="116" t="s">
        <v>37</v>
      </c>
      <c r="F49" s="116" t="s">
        <v>38</v>
      </c>
      <c r="G49" s="116" t="s">
        <v>84</v>
      </c>
      <c r="H49" s="117" t="s">
        <v>450</v>
      </c>
      <c r="I49" s="116" t="s">
        <v>41</v>
      </c>
      <c r="J49" s="116">
        <v>4770</v>
      </c>
      <c r="K49" s="118">
        <f t="shared" si="9"/>
        <v>858.6</v>
      </c>
      <c r="L49" s="118">
        <f t="shared" si="10"/>
        <v>858.6</v>
      </c>
      <c r="M49" s="118">
        <f t="shared" si="11"/>
        <v>858.6</v>
      </c>
      <c r="N49" s="118"/>
      <c r="O49" s="118"/>
      <c r="P49" s="118"/>
      <c r="Q49" s="116"/>
      <c r="R49" s="116"/>
      <c r="S49" s="116"/>
      <c r="T49" s="116"/>
      <c r="U49" s="116"/>
      <c r="V49" s="116"/>
      <c r="W49" s="116">
        <v>858</v>
      </c>
      <c r="X49" s="116" t="s">
        <v>44</v>
      </c>
      <c r="Y49" s="116" t="s">
        <v>45</v>
      </c>
      <c r="Z49" s="116"/>
      <c r="AA49" s="119" t="s">
        <v>327</v>
      </c>
    </row>
    <row r="50" s="100" customFormat="1" ht="127.5" spans="1:27">
      <c r="A50" s="116">
        <v>40</v>
      </c>
      <c r="B50" s="116" t="s">
        <v>100</v>
      </c>
      <c r="C50" s="116" t="s">
        <v>87</v>
      </c>
      <c r="D50" s="116" t="s">
        <v>33</v>
      </c>
      <c r="E50" s="116" t="s">
        <v>37</v>
      </c>
      <c r="F50" s="116" t="s">
        <v>38</v>
      </c>
      <c r="G50" s="116" t="s">
        <v>88</v>
      </c>
      <c r="H50" s="117" t="s">
        <v>451</v>
      </c>
      <c r="I50" s="116" t="s">
        <v>41</v>
      </c>
      <c r="J50" s="116">
        <v>4987</v>
      </c>
      <c r="K50" s="118">
        <f t="shared" si="9"/>
        <v>897.66</v>
      </c>
      <c r="L50" s="118">
        <f t="shared" si="10"/>
        <v>897.66</v>
      </c>
      <c r="M50" s="118">
        <f t="shared" si="11"/>
        <v>897.66</v>
      </c>
      <c r="N50" s="118"/>
      <c r="O50" s="118"/>
      <c r="P50" s="118"/>
      <c r="Q50" s="116"/>
      <c r="R50" s="116"/>
      <c r="S50" s="116"/>
      <c r="T50" s="116"/>
      <c r="U50" s="116"/>
      <c r="V50" s="116"/>
      <c r="W50" s="116">
        <v>900</v>
      </c>
      <c r="X50" s="116" t="s">
        <v>44</v>
      </c>
      <c r="Y50" s="116" t="s">
        <v>45</v>
      </c>
      <c r="Z50" s="116"/>
      <c r="AA50" s="119" t="s">
        <v>327</v>
      </c>
    </row>
    <row r="51" s="100" customFormat="1" ht="127.5" spans="1:27">
      <c r="A51" s="116">
        <v>41</v>
      </c>
      <c r="B51" s="116" t="s">
        <v>92</v>
      </c>
      <c r="C51" s="116" t="s">
        <v>452</v>
      </c>
      <c r="D51" s="116" t="s">
        <v>33</v>
      </c>
      <c r="E51" s="116" t="s">
        <v>37</v>
      </c>
      <c r="F51" s="116" t="s">
        <v>38</v>
      </c>
      <c r="G51" s="116" t="s">
        <v>104</v>
      </c>
      <c r="H51" s="117" t="s">
        <v>453</v>
      </c>
      <c r="I51" s="116" t="s">
        <v>41</v>
      </c>
      <c r="J51" s="116">
        <v>6115</v>
      </c>
      <c r="K51" s="118">
        <f t="shared" si="9"/>
        <v>1100.7</v>
      </c>
      <c r="L51" s="118">
        <f t="shared" si="10"/>
        <v>1100.7</v>
      </c>
      <c r="M51" s="118">
        <f t="shared" si="11"/>
        <v>1100.7</v>
      </c>
      <c r="N51" s="118"/>
      <c r="O51" s="118"/>
      <c r="P51" s="118"/>
      <c r="Q51" s="116"/>
      <c r="R51" s="116"/>
      <c r="S51" s="116"/>
      <c r="T51" s="116"/>
      <c r="U51" s="116"/>
      <c r="V51" s="116"/>
      <c r="W51" s="116">
        <v>1100</v>
      </c>
      <c r="X51" s="116" t="s">
        <v>44</v>
      </c>
      <c r="Y51" s="116" t="s">
        <v>45</v>
      </c>
      <c r="Z51" s="116"/>
      <c r="AA51" s="119" t="s">
        <v>327</v>
      </c>
    </row>
    <row r="52" s="100" customFormat="1" ht="127.5" spans="1:27">
      <c r="A52" s="116">
        <v>42</v>
      </c>
      <c r="B52" s="116" t="s">
        <v>454</v>
      </c>
      <c r="C52" s="116" t="s">
        <v>93</v>
      </c>
      <c r="D52" s="116" t="s">
        <v>33</v>
      </c>
      <c r="E52" s="116" t="s">
        <v>37</v>
      </c>
      <c r="F52" s="116" t="s">
        <v>38</v>
      </c>
      <c r="G52" s="116" t="s">
        <v>94</v>
      </c>
      <c r="H52" s="117" t="s">
        <v>455</v>
      </c>
      <c r="I52" s="116" t="s">
        <v>41</v>
      </c>
      <c r="J52" s="116">
        <v>14640</v>
      </c>
      <c r="K52" s="118">
        <f t="shared" si="9"/>
        <v>2635.2</v>
      </c>
      <c r="L52" s="118">
        <f t="shared" si="10"/>
        <v>2635.2</v>
      </c>
      <c r="M52" s="118">
        <f t="shared" si="11"/>
        <v>2635.2</v>
      </c>
      <c r="N52" s="118"/>
      <c r="O52" s="118"/>
      <c r="P52" s="118"/>
      <c r="Q52" s="116"/>
      <c r="R52" s="116"/>
      <c r="S52" s="116"/>
      <c r="T52" s="116"/>
      <c r="U52" s="116"/>
      <c r="V52" s="116"/>
      <c r="W52" s="116">
        <v>2635</v>
      </c>
      <c r="X52" s="116" t="s">
        <v>44</v>
      </c>
      <c r="Y52" s="116" t="s">
        <v>45</v>
      </c>
      <c r="Z52" s="116"/>
      <c r="AA52" s="119" t="s">
        <v>327</v>
      </c>
    </row>
    <row r="53" s="100" customFormat="1" ht="127.5" spans="1:27">
      <c r="A53" s="116">
        <v>43</v>
      </c>
      <c r="B53" s="116" t="s">
        <v>456</v>
      </c>
      <c r="C53" s="116" t="s">
        <v>457</v>
      </c>
      <c r="D53" s="116" t="s">
        <v>33</v>
      </c>
      <c r="E53" s="116" t="s">
        <v>37</v>
      </c>
      <c r="F53" s="116" t="s">
        <v>38</v>
      </c>
      <c r="G53" s="116" t="s">
        <v>142</v>
      </c>
      <c r="H53" s="117" t="s">
        <v>458</v>
      </c>
      <c r="I53" s="116" t="s">
        <v>41</v>
      </c>
      <c r="J53" s="116">
        <v>2450</v>
      </c>
      <c r="K53" s="118">
        <f t="shared" si="9"/>
        <v>441</v>
      </c>
      <c r="L53" s="118">
        <f t="shared" si="10"/>
        <v>441</v>
      </c>
      <c r="M53" s="118">
        <f t="shared" si="11"/>
        <v>441</v>
      </c>
      <c r="N53" s="118"/>
      <c r="O53" s="118"/>
      <c r="P53" s="118"/>
      <c r="Q53" s="116"/>
      <c r="R53" s="116"/>
      <c r="S53" s="116"/>
      <c r="T53" s="116"/>
      <c r="U53" s="116"/>
      <c r="V53" s="116"/>
      <c r="W53" s="116">
        <v>441</v>
      </c>
      <c r="X53" s="116" t="s">
        <v>44</v>
      </c>
      <c r="Y53" s="116" t="s">
        <v>45</v>
      </c>
      <c r="Z53" s="116"/>
      <c r="AA53" s="119" t="s">
        <v>327</v>
      </c>
    </row>
    <row r="54" s="100" customFormat="1" ht="57" customHeight="1" spans="1:27">
      <c r="A54" s="116">
        <v>44</v>
      </c>
      <c r="B54" s="116" t="s">
        <v>459</v>
      </c>
      <c r="C54" s="116" t="s">
        <v>460</v>
      </c>
      <c r="D54" s="116" t="s">
        <v>33</v>
      </c>
      <c r="E54" s="116" t="s">
        <v>37</v>
      </c>
      <c r="F54" s="116" t="s">
        <v>38</v>
      </c>
      <c r="G54" s="116" t="s">
        <v>190</v>
      </c>
      <c r="H54" s="117" t="s">
        <v>461</v>
      </c>
      <c r="I54" s="116" t="s">
        <v>41</v>
      </c>
      <c r="J54" s="116">
        <v>2755</v>
      </c>
      <c r="K54" s="118">
        <f t="shared" si="9"/>
        <v>413.25</v>
      </c>
      <c r="L54" s="118">
        <f t="shared" si="10"/>
        <v>413.25</v>
      </c>
      <c r="M54" s="118">
        <f t="shared" ref="M54:M56" si="12">J54*0.15</f>
        <v>413.25</v>
      </c>
      <c r="N54" s="118"/>
      <c r="O54" s="118"/>
      <c r="P54" s="118"/>
      <c r="Q54" s="116"/>
      <c r="R54" s="116"/>
      <c r="S54" s="116"/>
      <c r="T54" s="116"/>
      <c r="U54" s="116"/>
      <c r="V54" s="116"/>
      <c r="W54" s="116">
        <v>1500</v>
      </c>
      <c r="X54" s="116" t="s">
        <v>44</v>
      </c>
      <c r="Y54" s="116" t="s">
        <v>45</v>
      </c>
      <c r="Z54" s="116"/>
      <c r="AA54" s="119" t="s">
        <v>327</v>
      </c>
    </row>
    <row r="55" s="100" customFormat="1" ht="127.5" spans="1:27">
      <c r="A55" s="116">
        <v>45</v>
      </c>
      <c r="B55" s="116" t="s">
        <v>462</v>
      </c>
      <c r="C55" s="116" t="s">
        <v>463</v>
      </c>
      <c r="D55" s="116" t="s">
        <v>33</v>
      </c>
      <c r="E55" s="116" t="s">
        <v>37</v>
      </c>
      <c r="F55" s="116" t="s">
        <v>38</v>
      </c>
      <c r="G55" s="116" t="s">
        <v>48</v>
      </c>
      <c r="H55" s="117" t="s">
        <v>464</v>
      </c>
      <c r="I55" s="116" t="s">
        <v>41</v>
      </c>
      <c r="J55" s="116">
        <v>5000</v>
      </c>
      <c r="K55" s="118">
        <f t="shared" si="9"/>
        <v>750</v>
      </c>
      <c r="L55" s="118">
        <f t="shared" si="10"/>
        <v>750</v>
      </c>
      <c r="M55" s="118">
        <f t="shared" si="12"/>
        <v>750</v>
      </c>
      <c r="N55" s="118"/>
      <c r="O55" s="118"/>
      <c r="P55" s="118"/>
      <c r="Q55" s="116"/>
      <c r="R55" s="116"/>
      <c r="S55" s="116"/>
      <c r="T55" s="116"/>
      <c r="U55" s="116"/>
      <c r="V55" s="116"/>
      <c r="W55" s="116">
        <v>3200</v>
      </c>
      <c r="X55" s="116" t="s">
        <v>44</v>
      </c>
      <c r="Y55" s="116" t="s">
        <v>45</v>
      </c>
      <c r="Z55" s="116"/>
      <c r="AA55" s="119" t="s">
        <v>327</v>
      </c>
    </row>
    <row r="56" s="100" customFormat="1" ht="127.5" spans="1:27">
      <c r="A56" s="116">
        <v>46</v>
      </c>
      <c r="B56" s="116" t="s">
        <v>465</v>
      </c>
      <c r="C56" s="116" t="s">
        <v>466</v>
      </c>
      <c r="D56" s="116" t="s">
        <v>33</v>
      </c>
      <c r="E56" s="116" t="s">
        <v>37</v>
      </c>
      <c r="F56" s="116" t="s">
        <v>38</v>
      </c>
      <c r="G56" s="116" t="s">
        <v>173</v>
      </c>
      <c r="H56" s="117" t="s">
        <v>467</v>
      </c>
      <c r="I56" s="116" t="s">
        <v>41</v>
      </c>
      <c r="J56" s="116">
        <v>6000</v>
      </c>
      <c r="K56" s="118">
        <f t="shared" si="9"/>
        <v>900</v>
      </c>
      <c r="L56" s="118">
        <f t="shared" si="10"/>
        <v>900</v>
      </c>
      <c r="M56" s="118">
        <f t="shared" si="12"/>
        <v>900</v>
      </c>
      <c r="N56" s="118"/>
      <c r="O56" s="118"/>
      <c r="P56" s="118"/>
      <c r="Q56" s="116"/>
      <c r="R56" s="116"/>
      <c r="S56" s="116"/>
      <c r="T56" s="116"/>
      <c r="U56" s="116"/>
      <c r="V56" s="116"/>
      <c r="W56" s="116">
        <v>3200</v>
      </c>
      <c r="X56" s="116" t="s">
        <v>44</v>
      </c>
      <c r="Y56" s="116" t="s">
        <v>45</v>
      </c>
      <c r="Z56" s="116"/>
      <c r="AA56" s="119" t="s">
        <v>327</v>
      </c>
    </row>
    <row r="57" s="100" customFormat="1" ht="127.5" spans="1:27">
      <c r="A57" s="116">
        <v>47</v>
      </c>
      <c r="B57" s="116" t="s">
        <v>132</v>
      </c>
      <c r="C57" s="116" t="s">
        <v>468</v>
      </c>
      <c r="D57" s="116" t="s">
        <v>33</v>
      </c>
      <c r="E57" s="116" t="s">
        <v>37</v>
      </c>
      <c r="F57" s="116" t="s">
        <v>38</v>
      </c>
      <c r="G57" s="116" t="s">
        <v>151</v>
      </c>
      <c r="H57" s="117" t="s">
        <v>469</v>
      </c>
      <c r="I57" s="116" t="s">
        <v>41</v>
      </c>
      <c r="J57" s="116">
        <v>280</v>
      </c>
      <c r="K57" s="118">
        <f t="shared" si="9"/>
        <v>42</v>
      </c>
      <c r="L57" s="118">
        <f t="shared" si="10"/>
        <v>42</v>
      </c>
      <c r="M57" s="118">
        <v>42</v>
      </c>
      <c r="N57" s="118"/>
      <c r="O57" s="118"/>
      <c r="P57" s="118"/>
      <c r="Q57" s="116"/>
      <c r="R57" s="116"/>
      <c r="S57" s="116"/>
      <c r="T57" s="116"/>
      <c r="U57" s="116"/>
      <c r="V57" s="116"/>
      <c r="W57" s="116">
        <v>280</v>
      </c>
      <c r="X57" s="116" t="s">
        <v>44</v>
      </c>
      <c r="Y57" s="116" t="s">
        <v>45</v>
      </c>
      <c r="Z57" s="116"/>
      <c r="AA57" s="119" t="s">
        <v>327</v>
      </c>
    </row>
    <row r="58" s="100" customFormat="1" ht="127.5" spans="1:27">
      <c r="A58" s="116">
        <v>48</v>
      </c>
      <c r="B58" s="116" t="s">
        <v>470</v>
      </c>
      <c r="C58" s="116" t="s">
        <v>133</v>
      </c>
      <c r="D58" s="116" t="s">
        <v>33</v>
      </c>
      <c r="E58" s="116" t="s">
        <v>37</v>
      </c>
      <c r="F58" s="116" t="s">
        <v>38</v>
      </c>
      <c r="G58" s="116" t="s">
        <v>130</v>
      </c>
      <c r="H58" s="117" t="s">
        <v>471</v>
      </c>
      <c r="I58" s="116" t="s">
        <v>41</v>
      </c>
      <c r="J58" s="116">
        <v>1500</v>
      </c>
      <c r="K58" s="118">
        <f t="shared" si="9"/>
        <v>225</v>
      </c>
      <c r="L58" s="118">
        <f t="shared" si="10"/>
        <v>225</v>
      </c>
      <c r="M58" s="118">
        <v>225</v>
      </c>
      <c r="N58" s="118"/>
      <c r="O58" s="118"/>
      <c r="P58" s="118"/>
      <c r="Q58" s="116"/>
      <c r="R58" s="116"/>
      <c r="S58" s="116"/>
      <c r="T58" s="116"/>
      <c r="U58" s="116"/>
      <c r="V58" s="116"/>
      <c r="W58" s="116">
        <v>1500</v>
      </c>
      <c r="X58" s="116" t="s">
        <v>44</v>
      </c>
      <c r="Y58" s="116" t="s">
        <v>45</v>
      </c>
      <c r="Z58" s="116"/>
      <c r="AA58" s="119" t="s">
        <v>327</v>
      </c>
    </row>
    <row r="59" s="100" customFormat="1" ht="127.5" spans="1:27">
      <c r="A59" s="116">
        <v>49</v>
      </c>
      <c r="B59" s="116" t="s">
        <v>472</v>
      </c>
      <c r="C59" s="116" t="s">
        <v>473</v>
      </c>
      <c r="D59" s="116" t="s">
        <v>33</v>
      </c>
      <c r="E59" s="116" t="s">
        <v>37</v>
      </c>
      <c r="F59" s="116" t="s">
        <v>38</v>
      </c>
      <c r="G59" s="116" t="s">
        <v>63</v>
      </c>
      <c r="H59" s="117" t="s">
        <v>474</v>
      </c>
      <c r="I59" s="116" t="s">
        <v>41</v>
      </c>
      <c r="J59" s="116">
        <v>3970</v>
      </c>
      <c r="K59" s="118">
        <f t="shared" si="9"/>
        <v>595.5</v>
      </c>
      <c r="L59" s="118">
        <f t="shared" si="10"/>
        <v>595.5</v>
      </c>
      <c r="M59" s="118">
        <v>595.5</v>
      </c>
      <c r="N59" s="118"/>
      <c r="O59" s="118"/>
      <c r="P59" s="118"/>
      <c r="Q59" s="116"/>
      <c r="R59" s="116"/>
      <c r="S59" s="116"/>
      <c r="T59" s="116"/>
      <c r="U59" s="116"/>
      <c r="V59" s="116"/>
      <c r="W59" s="116">
        <v>3970</v>
      </c>
      <c r="X59" s="116" t="s">
        <v>44</v>
      </c>
      <c r="Y59" s="116" t="s">
        <v>45</v>
      </c>
      <c r="Z59" s="116"/>
      <c r="AA59" s="119" t="s">
        <v>327</v>
      </c>
    </row>
    <row r="60" s="100" customFormat="1" ht="127.5" spans="1:27">
      <c r="A60" s="116">
        <v>50</v>
      </c>
      <c r="B60" s="116" t="s">
        <v>475</v>
      </c>
      <c r="C60" s="116" t="s">
        <v>476</v>
      </c>
      <c r="D60" s="116" t="s">
        <v>33</v>
      </c>
      <c r="E60" s="116" t="s">
        <v>37</v>
      </c>
      <c r="F60" s="116" t="s">
        <v>38</v>
      </c>
      <c r="G60" s="116" t="s">
        <v>69</v>
      </c>
      <c r="H60" s="117" t="s">
        <v>477</v>
      </c>
      <c r="I60" s="116" t="s">
        <v>41</v>
      </c>
      <c r="J60" s="116">
        <v>10850</v>
      </c>
      <c r="K60" s="118">
        <v>1627.5</v>
      </c>
      <c r="L60" s="118">
        <v>1627.5</v>
      </c>
      <c r="M60" s="118">
        <v>1627.5</v>
      </c>
      <c r="N60" s="118"/>
      <c r="O60" s="118"/>
      <c r="P60" s="118"/>
      <c r="Q60" s="116"/>
      <c r="R60" s="116"/>
      <c r="S60" s="116"/>
      <c r="T60" s="116"/>
      <c r="U60" s="116"/>
      <c r="V60" s="116"/>
      <c r="W60" s="116">
        <v>12000</v>
      </c>
      <c r="X60" s="116" t="s">
        <v>44</v>
      </c>
      <c r="Y60" s="116" t="s">
        <v>45</v>
      </c>
      <c r="Z60" s="116"/>
      <c r="AA60" s="119" t="s">
        <v>314</v>
      </c>
    </row>
    <row r="61" s="100" customFormat="1" ht="127.5" spans="1:27">
      <c r="A61" s="116">
        <v>51</v>
      </c>
      <c r="B61" s="116" t="s">
        <v>478</v>
      </c>
      <c r="C61" s="116" t="s">
        <v>479</v>
      </c>
      <c r="D61" s="116" t="s">
        <v>33</v>
      </c>
      <c r="E61" s="116" t="s">
        <v>37</v>
      </c>
      <c r="F61" s="116" t="s">
        <v>38</v>
      </c>
      <c r="G61" s="116" t="s">
        <v>84</v>
      </c>
      <c r="H61" s="117" t="s">
        <v>480</v>
      </c>
      <c r="I61" s="116" t="s">
        <v>41</v>
      </c>
      <c r="J61" s="116">
        <v>6765</v>
      </c>
      <c r="K61" s="118">
        <f t="shared" si="9"/>
        <v>1014.75</v>
      </c>
      <c r="L61" s="118">
        <f t="shared" si="10"/>
        <v>1014.75</v>
      </c>
      <c r="M61" s="118">
        <v>1014.75</v>
      </c>
      <c r="N61" s="118"/>
      <c r="O61" s="118"/>
      <c r="P61" s="118"/>
      <c r="Q61" s="116"/>
      <c r="R61" s="116"/>
      <c r="S61" s="116"/>
      <c r="T61" s="116"/>
      <c r="U61" s="116"/>
      <c r="V61" s="116"/>
      <c r="W61" s="116">
        <v>6765</v>
      </c>
      <c r="X61" s="116" t="s">
        <v>44</v>
      </c>
      <c r="Y61" s="116" t="s">
        <v>45</v>
      </c>
      <c r="Z61" s="116"/>
      <c r="AA61" s="119" t="s">
        <v>327</v>
      </c>
    </row>
    <row r="62" s="100" customFormat="1" ht="127.5" spans="1:27">
      <c r="A62" s="116">
        <v>52</v>
      </c>
      <c r="B62" s="116" t="s">
        <v>481</v>
      </c>
      <c r="C62" s="116" t="s">
        <v>482</v>
      </c>
      <c r="D62" s="116" t="s">
        <v>33</v>
      </c>
      <c r="E62" s="116" t="s">
        <v>37</v>
      </c>
      <c r="F62" s="116" t="s">
        <v>38</v>
      </c>
      <c r="G62" s="116" t="s">
        <v>88</v>
      </c>
      <c r="H62" s="117" t="s">
        <v>483</v>
      </c>
      <c r="I62" s="116" t="s">
        <v>41</v>
      </c>
      <c r="J62" s="116">
        <v>3504</v>
      </c>
      <c r="K62" s="118">
        <f t="shared" si="9"/>
        <v>525.6</v>
      </c>
      <c r="L62" s="118">
        <f t="shared" si="10"/>
        <v>525.6</v>
      </c>
      <c r="M62" s="118">
        <v>525.6</v>
      </c>
      <c r="N62" s="118"/>
      <c r="O62" s="118"/>
      <c r="P62" s="118"/>
      <c r="Q62" s="116"/>
      <c r="R62" s="116"/>
      <c r="S62" s="116"/>
      <c r="T62" s="116"/>
      <c r="U62" s="116"/>
      <c r="V62" s="116"/>
      <c r="W62" s="116">
        <v>3504</v>
      </c>
      <c r="X62" s="116" t="s">
        <v>44</v>
      </c>
      <c r="Y62" s="116" t="s">
        <v>45</v>
      </c>
      <c r="Z62" s="116"/>
      <c r="AA62" s="119" t="s">
        <v>327</v>
      </c>
    </row>
    <row r="63" s="100" customFormat="1" ht="127.5" spans="1:27">
      <c r="A63" s="116">
        <v>53</v>
      </c>
      <c r="B63" s="116" t="s">
        <v>484</v>
      </c>
      <c r="C63" s="116" t="s">
        <v>485</v>
      </c>
      <c r="D63" s="116" t="s">
        <v>33</v>
      </c>
      <c r="E63" s="116" t="s">
        <v>37</v>
      </c>
      <c r="F63" s="116" t="s">
        <v>38</v>
      </c>
      <c r="G63" s="116" t="s">
        <v>104</v>
      </c>
      <c r="H63" s="117" t="s">
        <v>486</v>
      </c>
      <c r="I63" s="116" t="s">
        <v>41</v>
      </c>
      <c r="J63" s="116">
        <v>2150</v>
      </c>
      <c r="K63" s="118">
        <f t="shared" si="9"/>
        <v>322.5</v>
      </c>
      <c r="L63" s="118">
        <f t="shared" si="10"/>
        <v>322.5</v>
      </c>
      <c r="M63" s="118">
        <v>322.5</v>
      </c>
      <c r="N63" s="118"/>
      <c r="O63" s="118"/>
      <c r="P63" s="118"/>
      <c r="Q63" s="116"/>
      <c r="R63" s="116"/>
      <c r="S63" s="116"/>
      <c r="T63" s="116"/>
      <c r="U63" s="116"/>
      <c r="V63" s="116"/>
      <c r="W63" s="116">
        <v>1000</v>
      </c>
      <c r="X63" s="116" t="s">
        <v>44</v>
      </c>
      <c r="Y63" s="116" t="s">
        <v>45</v>
      </c>
      <c r="Z63" s="116"/>
      <c r="AA63" s="119" t="s">
        <v>327</v>
      </c>
    </row>
    <row r="64" s="100" customFormat="1" ht="127.5" spans="1:27">
      <c r="A64" s="116">
        <v>54</v>
      </c>
      <c r="B64" s="116" t="s">
        <v>487</v>
      </c>
      <c r="C64" s="116" t="s">
        <v>488</v>
      </c>
      <c r="D64" s="116" t="s">
        <v>33</v>
      </c>
      <c r="E64" s="116" t="s">
        <v>37</v>
      </c>
      <c r="F64" s="116" t="s">
        <v>38</v>
      </c>
      <c r="G64" s="116" t="s">
        <v>94</v>
      </c>
      <c r="H64" s="117" t="s">
        <v>489</v>
      </c>
      <c r="I64" s="116" t="s">
        <v>41</v>
      </c>
      <c r="J64" s="116">
        <v>8000</v>
      </c>
      <c r="K64" s="118">
        <f t="shared" si="9"/>
        <v>1200</v>
      </c>
      <c r="L64" s="118">
        <f t="shared" si="10"/>
        <v>1200</v>
      </c>
      <c r="M64" s="118">
        <f>J64*0.15</f>
        <v>1200</v>
      </c>
      <c r="N64" s="118"/>
      <c r="O64" s="118"/>
      <c r="P64" s="118"/>
      <c r="Q64" s="116"/>
      <c r="R64" s="116"/>
      <c r="S64" s="116"/>
      <c r="T64" s="116"/>
      <c r="U64" s="116"/>
      <c r="V64" s="116"/>
      <c r="W64" s="116">
        <v>2670</v>
      </c>
      <c r="X64" s="116" t="s">
        <v>44</v>
      </c>
      <c r="Y64" s="116" t="s">
        <v>45</v>
      </c>
      <c r="Z64" s="116"/>
      <c r="AA64" s="119" t="s">
        <v>327</v>
      </c>
    </row>
    <row r="65" s="100" customFormat="1" ht="127.5" spans="1:27">
      <c r="A65" s="116">
        <v>55</v>
      </c>
      <c r="B65" s="116" t="s">
        <v>490</v>
      </c>
      <c r="C65" s="116" t="s">
        <v>491</v>
      </c>
      <c r="D65" s="116" t="s">
        <v>33</v>
      </c>
      <c r="E65" s="116" t="s">
        <v>37</v>
      </c>
      <c r="F65" s="116" t="s">
        <v>38</v>
      </c>
      <c r="G65" s="116" t="s">
        <v>142</v>
      </c>
      <c r="H65" s="117" t="s">
        <v>492</v>
      </c>
      <c r="I65" s="116" t="s">
        <v>41</v>
      </c>
      <c r="J65" s="116">
        <v>4110</v>
      </c>
      <c r="K65" s="118">
        <f t="shared" si="9"/>
        <v>616.5</v>
      </c>
      <c r="L65" s="118">
        <f t="shared" si="10"/>
        <v>616.5</v>
      </c>
      <c r="M65" s="118">
        <v>616.5</v>
      </c>
      <c r="N65" s="118"/>
      <c r="O65" s="118"/>
      <c r="P65" s="118"/>
      <c r="Q65" s="116"/>
      <c r="R65" s="116"/>
      <c r="S65" s="116"/>
      <c r="T65" s="116"/>
      <c r="U65" s="116"/>
      <c r="V65" s="116"/>
      <c r="W65" s="116">
        <v>4110</v>
      </c>
      <c r="X65" s="116" t="s">
        <v>44</v>
      </c>
      <c r="Y65" s="116" t="s">
        <v>45</v>
      </c>
      <c r="Z65" s="116"/>
      <c r="AA65" s="119" t="s">
        <v>327</v>
      </c>
    </row>
    <row r="66" s="101" customFormat="1" ht="43" customHeight="1" spans="1:27">
      <c r="A66" s="125" t="s">
        <v>493</v>
      </c>
      <c r="B66" s="125"/>
      <c r="C66" s="125"/>
      <c r="D66" s="126"/>
      <c r="E66" s="127"/>
      <c r="F66" s="127"/>
      <c r="G66" s="127"/>
      <c r="H66" s="127">
        <v>6</v>
      </c>
      <c r="I66" s="128"/>
      <c r="J66" s="128"/>
      <c r="K66" s="129">
        <f t="shared" ref="K66:M66" si="13">SUM(K67:K72)</f>
        <v>7490.35</v>
      </c>
      <c r="L66" s="129">
        <f t="shared" si="13"/>
        <v>7490.35</v>
      </c>
      <c r="M66" s="129">
        <f t="shared" si="13"/>
        <v>7405.35</v>
      </c>
      <c r="N66" s="129">
        <f t="shared" ref="N66:V66" si="14">SUM(N68:N72)</f>
        <v>0</v>
      </c>
      <c r="O66" s="129">
        <f t="shared" si="14"/>
        <v>0</v>
      </c>
      <c r="P66" s="129">
        <f t="shared" si="14"/>
        <v>0</v>
      </c>
      <c r="Q66" s="129">
        <f t="shared" si="14"/>
        <v>0</v>
      </c>
      <c r="R66" s="129">
        <f t="shared" si="14"/>
        <v>85</v>
      </c>
      <c r="S66" s="129">
        <f t="shared" si="14"/>
        <v>0</v>
      </c>
      <c r="T66" s="129">
        <f t="shared" si="14"/>
        <v>0</v>
      </c>
      <c r="U66" s="129">
        <f t="shared" si="14"/>
        <v>0</v>
      </c>
      <c r="V66" s="129">
        <f t="shared" si="14"/>
        <v>0</v>
      </c>
      <c r="W66" s="127"/>
      <c r="X66" s="130"/>
      <c r="Y66" s="130"/>
      <c r="Z66" s="130"/>
      <c r="AA66" s="131"/>
    </row>
    <row r="67" s="100" customFormat="1" ht="87" customHeight="1" spans="1:27">
      <c r="A67" s="116">
        <v>56</v>
      </c>
      <c r="B67" s="116" t="s">
        <v>494</v>
      </c>
      <c r="C67" s="116" t="s">
        <v>495</v>
      </c>
      <c r="D67" s="116" t="s">
        <v>33</v>
      </c>
      <c r="E67" s="116" t="s">
        <v>37</v>
      </c>
      <c r="F67" s="116" t="s">
        <v>38</v>
      </c>
      <c r="G67" s="116" t="s">
        <v>48</v>
      </c>
      <c r="H67" s="117" t="s">
        <v>496</v>
      </c>
      <c r="I67" s="116" t="s">
        <v>41</v>
      </c>
      <c r="J67" s="116">
        <v>600</v>
      </c>
      <c r="K67" s="118">
        <f t="shared" ref="K67:K72" si="15">SUM(L67,T67,U67,V67)</f>
        <v>120</v>
      </c>
      <c r="L67" s="118">
        <f t="shared" ref="L67:L72" si="16">SUM(M67:S67)</f>
        <v>120</v>
      </c>
      <c r="M67" s="118">
        <v>120</v>
      </c>
      <c r="N67" s="118"/>
      <c r="O67" s="118"/>
      <c r="P67" s="118"/>
      <c r="Q67" s="116"/>
      <c r="R67" s="116"/>
      <c r="S67" s="116"/>
      <c r="T67" s="116"/>
      <c r="U67" s="116"/>
      <c r="V67" s="116"/>
      <c r="W67" s="116">
        <v>3500</v>
      </c>
      <c r="X67" s="116" t="s">
        <v>311</v>
      </c>
      <c r="Y67" s="116" t="s">
        <v>312</v>
      </c>
      <c r="Z67" s="116"/>
      <c r="AA67" s="119" t="s">
        <v>327</v>
      </c>
    </row>
    <row r="68" s="100" customFormat="1" ht="152" customHeight="1" spans="1:27">
      <c r="A68" s="116">
        <v>57</v>
      </c>
      <c r="B68" s="116" t="s">
        <v>497</v>
      </c>
      <c r="C68" s="116" t="s">
        <v>498</v>
      </c>
      <c r="D68" s="116" t="s">
        <v>33</v>
      </c>
      <c r="E68" s="116" t="s">
        <v>37</v>
      </c>
      <c r="F68" s="116" t="s">
        <v>38</v>
      </c>
      <c r="G68" s="116" t="s">
        <v>499</v>
      </c>
      <c r="H68" s="117" t="s">
        <v>500</v>
      </c>
      <c r="I68" s="116" t="s">
        <v>501</v>
      </c>
      <c r="J68" s="116">
        <v>6.6</v>
      </c>
      <c r="K68" s="118">
        <f t="shared" si="15"/>
        <v>528</v>
      </c>
      <c r="L68" s="118">
        <f t="shared" si="16"/>
        <v>528</v>
      </c>
      <c r="M68" s="118">
        <v>528</v>
      </c>
      <c r="N68" s="118"/>
      <c r="O68" s="118"/>
      <c r="P68" s="118"/>
      <c r="Q68" s="116"/>
      <c r="R68" s="116"/>
      <c r="S68" s="116"/>
      <c r="T68" s="116"/>
      <c r="U68" s="116"/>
      <c r="V68" s="116"/>
      <c r="W68" s="116">
        <v>120000</v>
      </c>
      <c r="X68" s="116" t="s">
        <v>311</v>
      </c>
      <c r="Y68" s="116" t="s">
        <v>312</v>
      </c>
      <c r="Z68" s="116"/>
      <c r="AA68" s="119" t="s">
        <v>314</v>
      </c>
    </row>
    <row r="69" s="100" customFormat="1" ht="152" customHeight="1" spans="1:27">
      <c r="A69" s="116">
        <v>58</v>
      </c>
      <c r="B69" s="116" t="s">
        <v>502</v>
      </c>
      <c r="C69" s="116" t="s">
        <v>503</v>
      </c>
      <c r="D69" s="116" t="s">
        <v>33</v>
      </c>
      <c r="E69" s="116" t="s">
        <v>37</v>
      </c>
      <c r="F69" s="116" t="s">
        <v>38</v>
      </c>
      <c r="G69" s="116" t="s">
        <v>504</v>
      </c>
      <c r="H69" s="117" t="s">
        <v>505</v>
      </c>
      <c r="I69" s="116" t="s">
        <v>41</v>
      </c>
      <c r="J69" s="116">
        <f>32698+1400</f>
        <v>34098</v>
      </c>
      <c r="K69" s="118">
        <f t="shared" si="15"/>
        <v>2557.35</v>
      </c>
      <c r="L69" s="118">
        <f t="shared" si="16"/>
        <v>2557.35</v>
      </c>
      <c r="M69" s="118">
        <f>J69*0.075</f>
        <v>2557.35</v>
      </c>
      <c r="N69" s="118"/>
      <c r="O69" s="118"/>
      <c r="P69" s="118"/>
      <c r="Q69" s="116"/>
      <c r="R69" s="116"/>
      <c r="S69" s="116"/>
      <c r="T69" s="116"/>
      <c r="U69" s="116"/>
      <c r="V69" s="116"/>
      <c r="W69" s="116">
        <v>32698</v>
      </c>
      <c r="X69" s="116" t="s">
        <v>311</v>
      </c>
      <c r="Y69" s="116" t="s">
        <v>312</v>
      </c>
      <c r="Z69" s="116"/>
      <c r="AA69" s="119" t="s">
        <v>314</v>
      </c>
    </row>
    <row r="70" s="100" customFormat="1" ht="118" customHeight="1" spans="1:27">
      <c r="A70" s="116">
        <v>59</v>
      </c>
      <c r="B70" s="116" t="s">
        <v>506</v>
      </c>
      <c r="C70" s="116" t="s">
        <v>507</v>
      </c>
      <c r="D70" s="116" t="s">
        <v>33</v>
      </c>
      <c r="E70" s="116" t="s">
        <v>37</v>
      </c>
      <c r="F70" s="116" t="s">
        <v>38</v>
      </c>
      <c r="G70" s="116" t="s">
        <v>508</v>
      </c>
      <c r="H70" s="122" t="s">
        <v>509</v>
      </c>
      <c r="I70" s="119" t="s">
        <v>41</v>
      </c>
      <c r="J70" s="116">
        <v>280</v>
      </c>
      <c r="K70" s="118">
        <f t="shared" si="15"/>
        <v>85</v>
      </c>
      <c r="L70" s="118">
        <f t="shared" si="16"/>
        <v>85</v>
      </c>
      <c r="M70" s="118"/>
      <c r="N70" s="132"/>
      <c r="O70" s="118"/>
      <c r="P70" s="118"/>
      <c r="Q70" s="116"/>
      <c r="R70" s="116">
        <v>85</v>
      </c>
      <c r="S70" s="116"/>
      <c r="T70" s="116"/>
      <c r="U70" s="116"/>
      <c r="V70" s="116"/>
      <c r="W70" s="116">
        <v>280</v>
      </c>
      <c r="X70" s="116" t="s">
        <v>311</v>
      </c>
      <c r="Y70" s="116" t="s">
        <v>312</v>
      </c>
      <c r="Z70" s="116"/>
      <c r="AA70" s="119" t="s">
        <v>327</v>
      </c>
    </row>
    <row r="71" s="100" customFormat="1" ht="83" customHeight="1" spans="1:27">
      <c r="A71" s="116">
        <v>60</v>
      </c>
      <c r="B71" s="116" t="s">
        <v>510</v>
      </c>
      <c r="C71" s="116" t="s">
        <v>511</v>
      </c>
      <c r="D71" s="116" t="s">
        <v>33</v>
      </c>
      <c r="E71" s="116" t="s">
        <v>37</v>
      </c>
      <c r="F71" s="116" t="s">
        <v>38</v>
      </c>
      <c r="G71" s="116" t="s">
        <v>277</v>
      </c>
      <c r="H71" s="117" t="s">
        <v>512</v>
      </c>
      <c r="I71" s="116" t="s">
        <v>501</v>
      </c>
      <c r="J71" s="116">
        <v>60</v>
      </c>
      <c r="K71" s="118">
        <f t="shared" si="15"/>
        <v>1800</v>
      </c>
      <c r="L71" s="118">
        <f t="shared" si="16"/>
        <v>1800</v>
      </c>
      <c r="M71" s="118">
        <v>1800</v>
      </c>
      <c r="N71" s="118"/>
      <c r="O71" s="118"/>
      <c r="P71" s="118"/>
      <c r="Q71" s="116"/>
      <c r="R71" s="116"/>
      <c r="S71" s="116"/>
      <c r="T71" s="116"/>
      <c r="U71" s="116"/>
      <c r="V71" s="116"/>
      <c r="W71" s="116">
        <v>420000</v>
      </c>
      <c r="X71" s="116" t="s">
        <v>311</v>
      </c>
      <c r="Y71" s="116" t="s">
        <v>312</v>
      </c>
      <c r="Z71" s="116"/>
      <c r="AA71" s="119" t="s">
        <v>337</v>
      </c>
    </row>
    <row r="72" s="100" customFormat="1" ht="83" customHeight="1" spans="1:27">
      <c r="A72" s="116">
        <v>61</v>
      </c>
      <c r="B72" s="116" t="s">
        <v>513</v>
      </c>
      <c r="C72" s="116" t="s">
        <v>514</v>
      </c>
      <c r="D72" s="116" t="s">
        <v>33</v>
      </c>
      <c r="E72" s="116" t="s">
        <v>37</v>
      </c>
      <c r="F72" s="116" t="s">
        <v>38</v>
      </c>
      <c r="G72" s="116" t="s">
        <v>277</v>
      </c>
      <c r="H72" s="117" t="s">
        <v>515</v>
      </c>
      <c r="I72" s="116" t="s">
        <v>501</v>
      </c>
      <c r="J72" s="116">
        <v>20</v>
      </c>
      <c r="K72" s="118">
        <f t="shared" si="15"/>
        <v>2400</v>
      </c>
      <c r="L72" s="118">
        <f t="shared" si="16"/>
        <v>2400</v>
      </c>
      <c r="M72" s="118">
        <v>2400</v>
      </c>
      <c r="N72" s="118"/>
      <c r="O72" s="118"/>
      <c r="P72" s="118"/>
      <c r="Q72" s="116"/>
      <c r="R72" s="116"/>
      <c r="S72" s="116"/>
      <c r="T72" s="116"/>
      <c r="U72" s="116"/>
      <c r="V72" s="116"/>
      <c r="W72" s="116">
        <v>420000</v>
      </c>
      <c r="X72" s="116" t="s">
        <v>311</v>
      </c>
      <c r="Y72" s="116" t="s">
        <v>312</v>
      </c>
      <c r="Z72" s="116"/>
      <c r="AA72" s="119" t="s">
        <v>327</v>
      </c>
    </row>
    <row r="73" s="101" customFormat="1" ht="43" customHeight="1" spans="1:27">
      <c r="A73" s="125" t="s">
        <v>516</v>
      </c>
      <c r="B73" s="125"/>
      <c r="C73" s="125"/>
      <c r="D73" s="126"/>
      <c r="E73" s="127"/>
      <c r="F73" s="127"/>
      <c r="G73" s="127"/>
      <c r="H73" s="127">
        <v>5</v>
      </c>
      <c r="I73" s="128"/>
      <c r="J73" s="128"/>
      <c r="K73" s="129">
        <f t="shared" ref="K73:M73" si="17">SUM(K74:K78)</f>
        <v>8932.69</v>
      </c>
      <c r="L73" s="129">
        <f t="shared" si="17"/>
        <v>8932.69</v>
      </c>
      <c r="M73" s="129">
        <f t="shared" si="17"/>
        <v>8932.69</v>
      </c>
      <c r="N73" s="129">
        <f t="shared" ref="N73:V73" si="18">SUM(N76:N78)</f>
        <v>0</v>
      </c>
      <c r="O73" s="129">
        <f t="shared" si="18"/>
        <v>0</v>
      </c>
      <c r="P73" s="129">
        <f t="shared" si="18"/>
        <v>0</v>
      </c>
      <c r="Q73" s="129">
        <f t="shared" si="18"/>
        <v>0</v>
      </c>
      <c r="R73" s="129">
        <f t="shared" si="18"/>
        <v>0</v>
      </c>
      <c r="S73" s="129">
        <f t="shared" si="18"/>
        <v>0</v>
      </c>
      <c r="T73" s="129">
        <f t="shared" si="18"/>
        <v>0</v>
      </c>
      <c r="U73" s="129">
        <f t="shared" si="18"/>
        <v>0</v>
      </c>
      <c r="V73" s="129">
        <f t="shared" si="18"/>
        <v>0</v>
      </c>
      <c r="W73" s="127"/>
      <c r="X73" s="130"/>
      <c r="Y73" s="130"/>
      <c r="Z73" s="130"/>
      <c r="AA73" s="131"/>
    </row>
    <row r="74" s="100" customFormat="1" ht="128" customHeight="1" spans="1:27">
      <c r="A74" s="116">
        <v>62</v>
      </c>
      <c r="B74" s="116" t="s">
        <v>517</v>
      </c>
      <c r="C74" s="116" t="s">
        <v>518</v>
      </c>
      <c r="D74" s="116" t="s">
        <v>33</v>
      </c>
      <c r="E74" s="116" t="s">
        <v>37</v>
      </c>
      <c r="F74" s="116" t="s">
        <v>38</v>
      </c>
      <c r="G74" s="116" t="s">
        <v>77</v>
      </c>
      <c r="H74" s="117" t="s">
        <v>519</v>
      </c>
      <c r="I74" s="116" t="s">
        <v>41</v>
      </c>
      <c r="J74" s="116">
        <v>1300</v>
      </c>
      <c r="K74" s="118">
        <f t="shared" ref="K74:K78" si="19">SUM(L74,T74:V74)</f>
        <v>182.8</v>
      </c>
      <c r="L74" s="118">
        <f t="shared" ref="L74:L78" si="20">SUM(M74:S74)</f>
        <v>182.8</v>
      </c>
      <c r="M74" s="118">
        <v>182.8</v>
      </c>
      <c r="N74" s="118"/>
      <c r="O74" s="118"/>
      <c r="P74" s="118"/>
      <c r="Q74" s="116"/>
      <c r="R74" s="116"/>
      <c r="S74" s="116"/>
      <c r="T74" s="116"/>
      <c r="U74" s="116"/>
      <c r="V74" s="116"/>
      <c r="W74" s="116">
        <v>300</v>
      </c>
      <c r="X74" s="116" t="s">
        <v>44</v>
      </c>
      <c r="Y74" s="116" t="s">
        <v>45</v>
      </c>
      <c r="Z74" s="116"/>
      <c r="AA74" s="119" t="s">
        <v>314</v>
      </c>
    </row>
    <row r="75" s="100" customFormat="1" ht="211" customHeight="1" spans="1:27">
      <c r="A75" s="116">
        <v>63</v>
      </c>
      <c r="B75" s="116" t="s">
        <v>520</v>
      </c>
      <c r="C75" s="116" t="s">
        <v>521</v>
      </c>
      <c r="D75" s="116" t="s">
        <v>33</v>
      </c>
      <c r="E75" s="116" t="s">
        <v>37</v>
      </c>
      <c r="F75" s="116" t="s">
        <v>38</v>
      </c>
      <c r="G75" s="116" t="s">
        <v>522</v>
      </c>
      <c r="H75" s="117" t="s">
        <v>523</v>
      </c>
      <c r="I75" s="116" t="s">
        <v>165</v>
      </c>
      <c r="J75" s="116">
        <v>87</v>
      </c>
      <c r="K75" s="118">
        <f t="shared" si="19"/>
        <v>69.89</v>
      </c>
      <c r="L75" s="118">
        <f t="shared" si="20"/>
        <v>69.89</v>
      </c>
      <c r="M75" s="118">
        <v>69.89</v>
      </c>
      <c r="N75" s="118"/>
      <c r="O75" s="118"/>
      <c r="P75" s="118"/>
      <c r="Q75" s="116"/>
      <c r="R75" s="116"/>
      <c r="S75" s="116"/>
      <c r="T75" s="116"/>
      <c r="U75" s="116"/>
      <c r="V75" s="116"/>
      <c r="W75" s="116">
        <v>870</v>
      </c>
      <c r="X75" s="116" t="s">
        <v>166</v>
      </c>
      <c r="Y75" s="116" t="s">
        <v>357</v>
      </c>
      <c r="Z75" s="116"/>
      <c r="AA75" s="119" t="s">
        <v>327</v>
      </c>
    </row>
    <row r="76" s="100" customFormat="1" ht="101" customHeight="1" spans="1:27">
      <c r="A76" s="116">
        <v>64</v>
      </c>
      <c r="B76" s="116" t="s">
        <v>524</v>
      </c>
      <c r="C76" s="116" t="s">
        <v>525</v>
      </c>
      <c r="D76" s="116" t="s">
        <v>33</v>
      </c>
      <c r="E76" s="116" t="s">
        <v>37</v>
      </c>
      <c r="F76" s="116" t="s">
        <v>38</v>
      </c>
      <c r="G76" s="116" t="s">
        <v>526</v>
      </c>
      <c r="H76" s="117" t="s">
        <v>527</v>
      </c>
      <c r="I76" s="116" t="s">
        <v>165</v>
      </c>
      <c r="J76" s="116">
        <v>100</v>
      </c>
      <c r="K76" s="118">
        <f t="shared" si="19"/>
        <v>2800</v>
      </c>
      <c r="L76" s="118">
        <f t="shared" si="20"/>
        <v>2800</v>
      </c>
      <c r="M76" s="118">
        <v>2800</v>
      </c>
      <c r="N76" s="118"/>
      <c r="O76" s="118"/>
      <c r="P76" s="118"/>
      <c r="Q76" s="116"/>
      <c r="R76" s="116"/>
      <c r="S76" s="116"/>
      <c r="T76" s="116"/>
      <c r="U76" s="116"/>
      <c r="V76" s="116"/>
      <c r="W76" s="116">
        <v>950</v>
      </c>
      <c r="X76" s="116" t="s">
        <v>166</v>
      </c>
      <c r="Y76" s="116" t="s">
        <v>357</v>
      </c>
      <c r="Z76" s="116"/>
      <c r="AA76" s="119" t="s">
        <v>314</v>
      </c>
    </row>
    <row r="77" s="100" customFormat="1" ht="121" customHeight="1" spans="1:27">
      <c r="A77" s="116">
        <v>65</v>
      </c>
      <c r="B77" s="116" t="s">
        <v>528</v>
      </c>
      <c r="C77" s="116" t="s">
        <v>147</v>
      </c>
      <c r="D77" s="116" t="s">
        <v>33</v>
      </c>
      <c r="E77" s="116" t="s">
        <v>37</v>
      </c>
      <c r="F77" s="116" t="s">
        <v>38</v>
      </c>
      <c r="G77" s="116" t="s">
        <v>148</v>
      </c>
      <c r="H77" s="117" t="s">
        <v>529</v>
      </c>
      <c r="I77" s="116" t="s">
        <v>530</v>
      </c>
      <c r="J77" s="116">
        <v>4.9</v>
      </c>
      <c r="K77" s="118">
        <f t="shared" si="19"/>
        <v>2980</v>
      </c>
      <c r="L77" s="118">
        <f t="shared" si="20"/>
        <v>2980</v>
      </c>
      <c r="M77" s="118">
        <v>2980</v>
      </c>
      <c r="N77" s="118"/>
      <c r="O77" s="118"/>
      <c r="P77" s="118"/>
      <c r="Q77" s="116"/>
      <c r="R77" s="116"/>
      <c r="S77" s="116"/>
      <c r="T77" s="116"/>
      <c r="U77" s="116"/>
      <c r="V77" s="116"/>
      <c r="W77" s="116">
        <v>1500</v>
      </c>
      <c r="X77" s="116" t="s">
        <v>166</v>
      </c>
      <c r="Y77" s="116" t="s">
        <v>357</v>
      </c>
      <c r="Z77" s="116"/>
      <c r="AA77" s="119" t="s">
        <v>327</v>
      </c>
    </row>
    <row r="78" s="100" customFormat="1" ht="110" customHeight="1" spans="1:27">
      <c r="A78" s="116">
        <v>66</v>
      </c>
      <c r="B78" s="116" t="s">
        <v>531</v>
      </c>
      <c r="C78" s="116" t="s">
        <v>532</v>
      </c>
      <c r="D78" s="116" t="s">
        <v>33</v>
      </c>
      <c r="E78" s="116" t="s">
        <v>533</v>
      </c>
      <c r="F78" s="116" t="s">
        <v>38</v>
      </c>
      <c r="G78" s="116" t="s">
        <v>534</v>
      </c>
      <c r="H78" s="117" t="s">
        <v>535</v>
      </c>
      <c r="I78" s="116" t="s">
        <v>150</v>
      </c>
      <c r="J78" s="116">
        <v>2000</v>
      </c>
      <c r="K78" s="118">
        <f t="shared" si="19"/>
        <v>2900</v>
      </c>
      <c r="L78" s="118">
        <f t="shared" si="20"/>
        <v>2900</v>
      </c>
      <c r="M78" s="118">
        <v>2900</v>
      </c>
      <c r="N78" s="118"/>
      <c r="O78" s="118"/>
      <c r="P78" s="118"/>
      <c r="Q78" s="116"/>
      <c r="R78" s="116"/>
      <c r="S78" s="116"/>
      <c r="T78" s="116"/>
      <c r="U78" s="116"/>
      <c r="V78" s="116"/>
      <c r="W78" s="116">
        <v>2000</v>
      </c>
      <c r="X78" s="116" t="s">
        <v>240</v>
      </c>
      <c r="Y78" s="116" t="s">
        <v>241</v>
      </c>
      <c r="Z78" s="116"/>
      <c r="AA78" s="119" t="s">
        <v>314</v>
      </c>
    </row>
    <row r="79" s="101" customFormat="1" ht="43" customHeight="1" spans="1:27">
      <c r="A79" s="125" t="s">
        <v>536</v>
      </c>
      <c r="B79" s="125"/>
      <c r="C79" s="125"/>
      <c r="D79" s="126"/>
      <c r="E79" s="127"/>
      <c r="F79" s="127"/>
      <c r="G79" s="127"/>
      <c r="H79" s="127">
        <v>5</v>
      </c>
      <c r="I79" s="128"/>
      <c r="J79" s="128"/>
      <c r="K79" s="129">
        <f t="shared" ref="K79:V79" si="21">SUM(K80:K84)</f>
        <v>3795</v>
      </c>
      <c r="L79" s="129">
        <f t="shared" si="21"/>
        <v>3795</v>
      </c>
      <c r="M79" s="129">
        <f t="shared" si="21"/>
        <v>3795</v>
      </c>
      <c r="N79" s="129">
        <f t="shared" si="21"/>
        <v>0</v>
      </c>
      <c r="O79" s="129">
        <f t="shared" si="21"/>
        <v>0</v>
      </c>
      <c r="P79" s="129">
        <f t="shared" si="21"/>
        <v>0</v>
      </c>
      <c r="Q79" s="129">
        <f t="shared" si="21"/>
        <v>0</v>
      </c>
      <c r="R79" s="129">
        <f t="shared" si="21"/>
        <v>0</v>
      </c>
      <c r="S79" s="129">
        <f t="shared" si="21"/>
        <v>0</v>
      </c>
      <c r="T79" s="129">
        <f t="shared" si="21"/>
        <v>0</v>
      </c>
      <c r="U79" s="129">
        <f t="shared" si="21"/>
        <v>0</v>
      </c>
      <c r="V79" s="129">
        <f t="shared" si="21"/>
        <v>0</v>
      </c>
      <c r="W79" s="127"/>
      <c r="X79" s="130"/>
      <c r="Y79" s="130"/>
      <c r="Z79" s="130"/>
      <c r="AA79" s="131"/>
    </row>
    <row r="80" s="100" customFormat="1" ht="159" customHeight="1" spans="1:27">
      <c r="A80" s="116">
        <v>67</v>
      </c>
      <c r="B80" s="116" t="s">
        <v>146</v>
      </c>
      <c r="C80" s="116" t="s">
        <v>537</v>
      </c>
      <c r="D80" s="116" t="s">
        <v>33</v>
      </c>
      <c r="E80" s="116" t="s">
        <v>211</v>
      </c>
      <c r="F80" s="116" t="s">
        <v>538</v>
      </c>
      <c r="G80" s="116" t="s">
        <v>539</v>
      </c>
      <c r="H80" s="122" t="s">
        <v>540</v>
      </c>
      <c r="I80" s="119" t="s">
        <v>541</v>
      </c>
      <c r="J80" s="119">
        <v>4</v>
      </c>
      <c r="K80" s="118">
        <f>SUM(L80,T80:V80)</f>
        <v>2000</v>
      </c>
      <c r="L80" s="118">
        <f>SUM(M80:S80)</f>
        <v>2000</v>
      </c>
      <c r="M80" s="118">
        <v>2000</v>
      </c>
      <c r="N80" s="132"/>
      <c r="O80" s="132"/>
      <c r="P80" s="132"/>
      <c r="Q80" s="133"/>
      <c r="R80" s="133"/>
      <c r="S80" s="133"/>
      <c r="T80" s="133"/>
      <c r="U80" s="133"/>
      <c r="V80" s="133"/>
      <c r="W80" s="133">
        <v>1500</v>
      </c>
      <c r="X80" s="116" t="s">
        <v>376</v>
      </c>
      <c r="Y80" s="116" t="s">
        <v>377</v>
      </c>
      <c r="Z80" s="116"/>
      <c r="AA80" s="119" t="s">
        <v>327</v>
      </c>
    </row>
    <row r="81" s="100" customFormat="1" ht="101" customHeight="1" spans="1:27">
      <c r="A81" s="116">
        <v>68</v>
      </c>
      <c r="B81" s="116" t="s">
        <v>542</v>
      </c>
      <c r="C81" s="116" t="s">
        <v>543</v>
      </c>
      <c r="D81" s="116" t="s">
        <v>33</v>
      </c>
      <c r="E81" s="116" t="s">
        <v>544</v>
      </c>
      <c r="F81" s="116" t="s">
        <v>38</v>
      </c>
      <c r="G81" s="116" t="s">
        <v>277</v>
      </c>
      <c r="H81" s="122" t="s">
        <v>545</v>
      </c>
      <c r="I81" s="119" t="s">
        <v>546</v>
      </c>
      <c r="J81" s="119">
        <v>10</v>
      </c>
      <c r="K81" s="118">
        <f>SUM(L81,T81:V81)</f>
        <v>500</v>
      </c>
      <c r="L81" s="118">
        <f>SUM(M81:S81)</f>
        <v>500</v>
      </c>
      <c r="M81" s="118">
        <v>500</v>
      </c>
      <c r="N81" s="132"/>
      <c r="O81" s="132">
        <v>0</v>
      </c>
      <c r="P81" s="132">
        <v>0</v>
      </c>
      <c r="Q81" s="133">
        <v>0</v>
      </c>
      <c r="R81" s="133">
        <v>0</v>
      </c>
      <c r="S81" s="133">
        <v>0</v>
      </c>
      <c r="T81" s="133">
        <v>0</v>
      </c>
      <c r="U81" s="133">
        <v>0</v>
      </c>
      <c r="V81" s="133">
        <v>0</v>
      </c>
      <c r="W81" s="133">
        <v>20000</v>
      </c>
      <c r="X81" s="116" t="s">
        <v>376</v>
      </c>
      <c r="Y81" s="116" t="s">
        <v>377</v>
      </c>
      <c r="Z81" s="116"/>
      <c r="AA81" s="119" t="s">
        <v>327</v>
      </c>
    </row>
    <row r="82" s="100" customFormat="1" ht="102" spans="1:27">
      <c r="A82" s="116">
        <v>69</v>
      </c>
      <c r="B82" s="116" t="s">
        <v>547</v>
      </c>
      <c r="C82" s="116" t="s">
        <v>548</v>
      </c>
      <c r="D82" s="116" t="s">
        <v>33</v>
      </c>
      <c r="E82" s="116" t="s">
        <v>544</v>
      </c>
      <c r="F82" s="116" t="s">
        <v>38</v>
      </c>
      <c r="G82" s="116" t="s">
        <v>277</v>
      </c>
      <c r="H82" s="122" t="s">
        <v>549</v>
      </c>
      <c r="I82" s="119" t="s">
        <v>550</v>
      </c>
      <c r="J82" s="119">
        <v>1</v>
      </c>
      <c r="K82" s="118">
        <f>SUM(L82,T82:V82)</f>
        <v>200</v>
      </c>
      <c r="L82" s="118">
        <f>SUM(M82:S82)</f>
        <v>200</v>
      </c>
      <c r="M82" s="118">
        <v>200</v>
      </c>
      <c r="N82" s="132"/>
      <c r="O82" s="132"/>
      <c r="P82" s="132"/>
      <c r="Q82" s="134"/>
      <c r="R82" s="134"/>
      <c r="S82" s="134"/>
      <c r="T82" s="134"/>
      <c r="U82" s="134"/>
      <c r="V82" s="134"/>
      <c r="W82" s="134">
        <v>5000</v>
      </c>
      <c r="X82" s="116" t="s">
        <v>376</v>
      </c>
      <c r="Y82" s="116" t="s">
        <v>377</v>
      </c>
      <c r="Z82" s="116"/>
      <c r="AA82" s="119" t="s">
        <v>327</v>
      </c>
    </row>
    <row r="83" s="100" customFormat="1" ht="105" customHeight="1" spans="1:27">
      <c r="A83" s="116">
        <v>70</v>
      </c>
      <c r="B83" s="116" t="s">
        <v>551</v>
      </c>
      <c r="C83" s="116" t="s">
        <v>552</v>
      </c>
      <c r="D83" s="116" t="s">
        <v>33</v>
      </c>
      <c r="E83" s="116" t="s">
        <v>211</v>
      </c>
      <c r="F83" s="116" t="s">
        <v>38</v>
      </c>
      <c r="G83" s="116" t="s">
        <v>285</v>
      </c>
      <c r="H83" s="122" t="s">
        <v>553</v>
      </c>
      <c r="I83" s="119" t="s">
        <v>554</v>
      </c>
      <c r="J83" s="119">
        <v>1</v>
      </c>
      <c r="K83" s="118">
        <f>SUM(L83,T83:V83)</f>
        <v>395</v>
      </c>
      <c r="L83" s="118">
        <f>SUM(M83:S83)</f>
        <v>395</v>
      </c>
      <c r="M83" s="118">
        <v>395</v>
      </c>
      <c r="N83" s="132"/>
      <c r="O83" s="132"/>
      <c r="P83" s="132"/>
      <c r="Q83" s="134"/>
      <c r="R83" s="134"/>
      <c r="S83" s="134"/>
      <c r="T83" s="134"/>
      <c r="U83" s="134"/>
      <c r="V83" s="134"/>
      <c r="W83" s="134">
        <v>120</v>
      </c>
      <c r="X83" s="116" t="s">
        <v>161</v>
      </c>
      <c r="Y83" s="116" t="s">
        <v>433</v>
      </c>
      <c r="Z83" s="116"/>
      <c r="AA83" s="119" t="s">
        <v>327</v>
      </c>
    </row>
    <row r="84" s="100" customFormat="1" ht="107" customHeight="1" spans="1:27">
      <c r="A84" s="116">
        <v>71</v>
      </c>
      <c r="B84" s="116" t="s">
        <v>555</v>
      </c>
      <c r="C84" s="116" t="s">
        <v>556</v>
      </c>
      <c r="D84" s="116" t="s">
        <v>33</v>
      </c>
      <c r="E84" s="116" t="s">
        <v>544</v>
      </c>
      <c r="F84" s="116" t="s">
        <v>38</v>
      </c>
      <c r="G84" s="116" t="s">
        <v>277</v>
      </c>
      <c r="H84" s="122" t="s">
        <v>557</v>
      </c>
      <c r="I84" s="119" t="s">
        <v>558</v>
      </c>
      <c r="J84" s="119">
        <v>650</v>
      </c>
      <c r="K84" s="118">
        <f>SUM(L84,T84:V84)</f>
        <v>700</v>
      </c>
      <c r="L84" s="118">
        <f>SUM(M84:S84)</f>
        <v>700</v>
      </c>
      <c r="M84" s="118">
        <v>700</v>
      </c>
      <c r="N84" s="132"/>
      <c r="O84" s="132"/>
      <c r="P84" s="132"/>
      <c r="Q84" s="134"/>
      <c r="R84" s="134"/>
      <c r="S84" s="134"/>
      <c r="T84" s="134"/>
      <c r="U84" s="134"/>
      <c r="V84" s="134"/>
      <c r="W84" s="134">
        <v>65000</v>
      </c>
      <c r="X84" s="116" t="s">
        <v>376</v>
      </c>
      <c r="Y84" s="116" t="s">
        <v>377</v>
      </c>
      <c r="Z84" s="116"/>
      <c r="AA84" s="119" t="s">
        <v>327</v>
      </c>
    </row>
    <row r="85" s="101" customFormat="1" ht="43" customHeight="1" spans="1:27">
      <c r="A85" s="125" t="s">
        <v>559</v>
      </c>
      <c r="B85" s="125"/>
      <c r="C85" s="125"/>
      <c r="D85" s="126"/>
      <c r="E85" s="127"/>
      <c r="F85" s="127"/>
      <c r="G85" s="127"/>
      <c r="H85" s="127">
        <v>34</v>
      </c>
      <c r="I85" s="128"/>
      <c r="J85" s="128"/>
      <c r="K85" s="129">
        <f t="shared" ref="K85:V85" si="22">SUM(K86:K119)</f>
        <v>34772.3</v>
      </c>
      <c r="L85" s="129">
        <f t="shared" si="22"/>
        <v>34772.3</v>
      </c>
      <c r="M85" s="129">
        <f t="shared" si="22"/>
        <v>21779</v>
      </c>
      <c r="N85" s="129">
        <f t="shared" si="22"/>
        <v>9180</v>
      </c>
      <c r="O85" s="129">
        <f t="shared" si="22"/>
        <v>0</v>
      </c>
      <c r="P85" s="129">
        <f t="shared" si="22"/>
        <v>3603.3</v>
      </c>
      <c r="Q85" s="129">
        <f t="shared" si="22"/>
        <v>0</v>
      </c>
      <c r="R85" s="129">
        <f t="shared" si="22"/>
        <v>210</v>
      </c>
      <c r="S85" s="129">
        <f t="shared" si="22"/>
        <v>0</v>
      </c>
      <c r="T85" s="129">
        <f t="shared" si="22"/>
        <v>0</v>
      </c>
      <c r="U85" s="129">
        <f t="shared" si="22"/>
        <v>0</v>
      </c>
      <c r="V85" s="129">
        <f t="shared" si="22"/>
        <v>0</v>
      </c>
      <c r="W85" s="127"/>
      <c r="X85" s="130"/>
      <c r="Y85" s="130"/>
      <c r="Z85" s="130"/>
      <c r="AA85" s="131"/>
    </row>
    <row r="86" s="102" customFormat="1" ht="105" customHeight="1" spans="1:27">
      <c r="A86" s="116">
        <v>72</v>
      </c>
      <c r="B86" s="116" t="s">
        <v>560</v>
      </c>
      <c r="C86" s="116" t="s">
        <v>561</v>
      </c>
      <c r="D86" s="116" t="s">
        <v>33</v>
      </c>
      <c r="E86" s="135" t="s">
        <v>562</v>
      </c>
      <c r="F86" s="135" t="s">
        <v>538</v>
      </c>
      <c r="G86" s="135" t="s">
        <v>563</v>
      </c>
      <c r="H86" s="122" t="s">
        <v>564</v>
      </c>
      <c r="I86" s="135" t="s">
        <v>165</v>
      </c>
      <c r="J86" s="135">
        <v>1</v>
      </c>
      <c r="K86" s="118">
        <f t="shared" ref="K86:K119" si="23">SUM(L86,T86:V86)</f>
        <v>240</v>
      </c>
      <c r="L86" s="118">
        <f t="shared" ref="L86:L119" si="24">SUM(M86:S86)</f>
        <v>240</v>
      </c>
      <c r="M86" s="135">
        <v>240</v>
      </c>
      <c r="N86" s="135"/>
      <c r="O86" s="135"/>
      <c r="P86" s="135"/>
      <c r="Q86" s="135"/>
      <c r="R86" s="135"/>
      <c r="S86" s="135"/>
      <c r="T86" s="135"/>
      <c r="U86" s="135"/>
      <c r="V86" s="135"/>
      <c r="W86" s="135">
        <v>3000</v>
      </c>
      <c r="X86" s="116" t="s">
        <v>351</v>
      </c>
      <c r="Y86" s="116" t="s">
        <v>352</v>
      </c>
      <c r="Z86" s="135"/>
      <c r="AA86" s="119" t="s">
        <v>327</v>
      </c>
    </row>
    <row r="87" s="100" customFormat="1" ht="111" customHeight="1" spans="1:27">
      <c r="A87" s="116">
        <v>73</v>
      </c>
      <c r="B87" s="116" t="s">
        <v>565</v>
      </c>
      <c r="C87" s="116" t="s">
        <v>566</v>
      </c>
      <c r="D87" s="116" t="s">
        <v>33</v>
      </c>
      <c r="E87" s="116" t="s">
        <v>562</v>
      </c>
      <c r="F87" s="116" t="s">
        <v>38</v>
      </c>
      <c r="G87" s="116" t="s">
        <v>534</v>
      </c>
      <c r="H87" s="117" t="s">
        <v>567</v>
      </c>
      <c r="I87" s="116" t="s">
        <v>150</v>
      </c>
      <c r="J87" s="116">
        <v>6666.7</v>
      </c>
      <c r="K87" s="118">
        <f t="shared" si="23"/>
        <v>2980</v>
      </c>
      <c r="L87" s="118">
        <f t="shared" si="24"/>
        <v>2980</v>
      </c>
      <c r="M87" s="118">
        <v>2980</v>
      </c>
      <c r="N87" s="118"/>
      <c r="O87" s="118"/>
      <c r="P87" s="118"/>
      <c r="Q87" s="116"/>
      <c r="R87" s="116"/>
      <c r="S87" s="116"/>
      <c r="T87" s="116"/>
      <c r="U87" s="116"/>
      <c r="V87" s="116"/>
      <c r="W87" s="116">
        <v>200</v>
      </c>
      <c r="X87" s="116" t="s">
        <v>144</v>
      </c>
      <c r="Y87" s="116" t="s">
        <v>145</v>
      </c>
      <c r="Z87" s="116"/>
      <c r="AA87" s="119" t="s">
        <v>314</v>
      </c>
    </row>
    <row r="88" s="100" customFormat="1" ht="111" customHeight="1" spans="1:27">
      <c r="A88" s="116">
        <v>74</v>
      </c>
      <c r="B88" s="116" t="s">
        <v>168</v>
      </c>
      <c r="C88" s="116" t="s">
        <v>568</v>
      </c>
      <c r="D88" s="116" t="s">
        <v>33</v>
      </c>
      <c r="E88" s="116" t="s">
        <v>138</v>
      </c>
      <c r="F88" s="116" t="s">
        <v>38</v>
      </c>
      <c r="G88" s="116" t="s">
        <v>534</v>
      </c>
      <c r="H88" s="117" t="s">
        <v>569</v>
      </c>
      <c r="I88" s="116" t="s">
        <v>150</v>
      </c>
      <c r="J88" s="116">
        <v>2000</v>
      </c>
      <c r="K88" s="118">
        <f t="shared" si="23"/>
        <v>800</v>
      </c>
      <c r="L88" s="118">
        <f t="shared" si="24"/>
        <v>800</v>
      </c>
      <c r="M88" s="118"/>
      <c r="N88" s="118"/>
      <c r="O88" s="118"/>
      <c r="P88" s="118">
        <v>800</v>
      </c>
      <c r="Q88" s="116"/>
      <c r="R88" s="116"/>
      <c r="S88" s="116"/>
      <c r="T88" s="116"/>
      <c r="U88" s="116"/>
      <c r="V88" s="116"/>
      <c r="W88" s="116">
        <v>2000</v>
      </c>
      <c r="X88" s="116" t="s">
        <v>570</v>
      </c>
      <c r="Y88" s="116" t="s">
        <v>571</v>
      </c>
      <c r="Z88" s="116"/>
      <c r="AA88" s="119" t="s">
        <v>314</v>
      </c>
    </row>
    <row r="89" s="100" customFormat="1" ht="110" customHeight="1" spans="1:27">
      <c r="A89" s="116">
        <v>75</v>
      </c>
      <c r="B89" s="116" t="s">
        <v>572</v>
      </c>
      <c r="C89" s="116" t="s">
        <v>573</v>
      </c>
      <c r="D89" s="116" t="s">
        <v>33</v>
      </c>
      <c r="E89" s="116" t="s">
        <v>574</v>
      </c>
      <c r="F89" s="116" t="s">
        <v>38</v>
      </c>
      <c r="G89" s="116" t="s">
        <v>575</v>
      </c>
      <c r="H89" s="117" t="s">
        <v>576</v>
      </c>
      <c r="I89" s="116" t="s">
        <v>150</v>
      </c>
      <c r="J89" s="116">
        <v>1000</v>
      </c>
      <c r="K89" s="118">
        <f t="shared" si="23"/>
        <v>960</v>
      </c>
      <c r="L89" s="118">
        <f t="shared" si="24"/>
        <v>960</v>
      </c>
      <c r="M89" s="118">
        <v>960</v>
      </c>
      <c r="N89" s="118"/>
      <c r="O89" s="118"/>
      <c r="P89" s="118"/>
      <c r="Q89" s="116"/>
      <c r="R89" s="116"/>
      <c r="S89" s="116"/>
      <c r="T89" s="116"/>
      <c r="U89" s="116"/>
      <c r="V89" s="116"/>
      <c r="W89" s="116">
        <v>1600</v>
      </c>
      <c r="X89" s="116" t="s">
        <v>144</v>
      </c>
      <c r="Y89" s="124" t="s">
        <v>145</v>
      </c>
      <c r="Z89" s="116"/>
      <c r="AA89" s="119" t="s">
        <v>327</v>
      </c>
    </row>
    <row r="90" s="100" customFormat="1" ht="89" customHeight="1" spans="1:27">
      <c r="A90" s="116">
        <v>76</v>
      </c>
      <c r="B90" s="116" t="s">
        <v>577</v>
      </c>
      <c r="C90" s="116" t="s">
        <v>578</v>
      </c>
      <c r="D90" s="116" t="s">
        <v>33</v>
      </c>
      <c r="E90" s="116" t="s">
        <v>562</v>
      </c>
      <c r="F90" s="116" t="s">
        <v>38</v>
      </c>
      <c r="G90" s="116" t="s">
        <v>579</v>
      </c>
      <c r="H90" s="117" t="s">
        <v>580</v>
      </c>
      <c r="I90" s="136" t="s">
        <v>150</v>
      </c>
      <c r="J90" s="136">
        <v>10000</v>
      </c>
      <c r="K90" s="118">
        <f t="shared" si="23"/>
        <v>2000</v>
      </c>
      <c r="L90" s="118">
        <f t="shared" si="24"/>
        <v>2000</v>
      </c>
      <c r="M90" s="118">
        <v>2000</v>
      </c>
      <c r="N90" s="118"/>
      <c r="O90" s="118"/>
      <c r="P90" s="118"/>
      <c r="Q90" s="116"/>
      <c r="R90" s="116"/>
      <c r="S90" s="116"/>
      <c r="T90" s="116"/>
      <c r="U90" s="116"/>
      <c r="V90" s="116"/>
      <c r="W90" s="116">
        <v>5000</v>
      </c>
      <c r="X90" s="116" t="s">
        <v>144</v>
      </c>
      <c r="Y90" s="116" t="s">
        <v>145</v>
      </c>
      <c r="Z90" s="116"/>
      <c r="AA90" s="119" t="s">
        <v>327</v>
      </c>
    </row>
    <row r="91" s="100" customFormat="1" ht="89" customHeight="1" spans="1:27">
      <c r="A91" s="116">
        <v>77</v>
      </c>
      <c r="B91" s="116" t="s">
        <v>581</v>
      </c>
      <c r="C91" s="116" t="s">
        <v>582</v>
      </c>
      <c r="D91" s="116" t="s">
        <v>33</v>
      </c>
      <c r="E91" s="116" t="s">
        <v>562</v>
      </c>
      <c r="F91" s="116" t="s">
        <v>38</v>
      </c>
      <c r="G91" s="116" t="s">
        <v>579</v>
      </c>
      <c r="H91" s="117" t="s">
        <v>583</v>
      </c>
      <c r="I91" s="136" t="s">
        <v>150</v>
      </c>
      <c r="J91" s="136">
        <v>16000</v>
      </c>
      <c r="K91" s="118">
        <f t="shared" si="23"/>
        <v>2900</v>
      </c>
      <c r="L91" s="118">
        <f t="shared" si="24"/>
        <v>2900</v>
      </c>
      <c r="M91" s="118">
        <v>2900</v>
      </c>
      <c r="N91" s="118"/>
      <c r="O91" s="118"/>
      <c r="P91" s="118"/>
      <c r="Q91" s="116"/>
      <c r="R91" s="116"/>
      <c r="S91" s="116"/>
      <c r="T91" s="116"/>
      <c r="U91" s="116"/>
      <c r="V91" s="116"/>
      <c r="W91" s="116">
        <v>5000</v>
      </c>
      <c r="X91" s="116" t="s">
        <v>144</v>
      </c>
      <c r="Y91" s="116" t="s">
        <v>145</v>
      </c>
      <c r="Z91" s="116"/>
      <c r="AA91" s="119" t="s">
        <v>327</v>
      </c>
    </row>
    <row r="92" s="100" customFormat="1" ht="143" customHeight="1" spans="1:27">
      <c r="A92" s="116">
        <v>78</v>
      </c>
      <c r="B92" s="116" t="s">
        <v>584</v>
      </c>
      <c r="C92" s="116" t="s">
        <v>585</v>
      </c>
      <c r="D92" s="116" t="s">
        <v>33</v>
      </c>
      <c r="E92" s="116" t="s">
        <v>533</v>
      </c>
      <c r="F92" s="116" t="s">
        <v>38</v>
      </c>
      <c r="G92" s="116" t="s">
        <v>586</v>
      </c>
      <c r="H92" s="117" t="s">
        <v>587</v>
      </c>
      <c r="I92" s="116" t="s">
        <v>150</v>
      </c>
      <c r="J92" s="116">
        <v>9600</v>
      </c>
      <c r="K92" s="118">
        <f t="shared" si="23"/>
        <v>790</v>
      </c>
      <c r="L92" s="118">
        <f t="shared" si="24"/>
        <v>790</v>
      </c>
      <c r="M92" s="118">
        <v>790</v>
      </c>
      <c r="N92" s="118"/>
      <c r="O92" s="118"/>
      <c r="P92" s="118"/>
      <c r="Q92" s="116"/>
      <c r="R92" s="116"/>
      <c r="S92" s="116"/>
      <c r="T92" s="116"/>
      <c r="U92" s="116"/>
      <c r="V92" s="116"/>
      <c r="W92" s="116">
        <v>9800</v>
      </c>
      <c r="X92" s="116" t="s">
        <v>240</v>
      </c>
      <c r="Y92" s="116" t="s">
        <v>241</v>
      </c>
      <c r="Z92" s="116"/>
      <c r="AA92" s="119" t="s">
        <v>327</v>
      </c>
    </row>
    <row r="93" s="100" customFormat="1" ht="106" customHeight="1" spans="1:27">
      <c r="A93" s="116">
        <v>79</v>
      </c>
      <c r="B93" s="116" t="s">
        <v>588</v>
      </c>
      <c r="C93" s="116" t="s">
        <v>589</v>
      </c>
      <c r="D93" s="116" t="s">
        <v>33</v>
      </c>
      <c r="E93" s="116" t="s">
        <v>590</v>
      </c>
      <c r="F93" s="116" t="s">
        <v>38</v>
      </c>
      <c r="G93" s="116" t="s">
        <v>591</v>
      </c>
      <c r="H93" s="117" t="s">
        <v>592</v>
      </c>
      <c r="I93" s="116" t="s">
        <v>41</v>
      </c>
      <c r="J93" s="116">
        <v>200</v>
      </c>
      <c r="K93" s="118">
        <f t="shared" si="23"/>
        <v>295</v>
      </c>
      <c r="L93" s="118">
        <f t="shared" si="24"/>
        <v>295</v>
      </c>
      <c r="M93" s="118">
        <v>295</v>
      </c>
      <c r="N93" s="118"/>
      <c r="O93" s="118"/>
      <c r="P93" s="118"/>
      <c r="Q93" s="116"/>
      <c r="R93" s="116"/>
      <c r="S93" s="116"/>
      <c r="T93" s="116"/>
      <c r="U93" s="116"/>
      <c r="V93" s="116"/>
      <c r="W93" s="116">
        <v>300</v>
      </c>
      <c r="X93" s="116" t="s">
        <v>166</v>
      </c>
      <c r="Y93" s="116" t="s">
        <v>357</v>
      </c>
      <c r="Z93" s="116"/>
      <c r="AA93" s="119" t="s">
        <v>327</v>
      </c>
    </row>
    <row r="94" s="100" customFormat="1" ht="143" customHeight="1" spans="1:27">
      <c r="A94" s="116">
        <v>80</v>
      </c>
      <c r="B94" s="116" t="s">
        <v>593</v>
      </c>
      <c r="C94" s="116" t="s">
        <v>594</v>
      </c>
      <c r="D94" s="116" t="s">
        <v>33</v>
      </c>
      <c r="E94" s="116" t="s">
        <v>138</v>
      </c>
      <c r="F94" s="116" t="s">
        <v>38</v>
      </c>
      <c r="G94" s="116" t="s">
        <v>595</v>
      </c>
      <c r="H94" s="117" t="s">
        <v>596</v>
      </c>
      <c r="I94" s="116" t="s">
        <v>165</v>
      </c>
      <c r="J94" s="116">
        <v>1</v>
      </c>
      <c r="K94" s="118">
        <f t="shared" si="23"/>
        <v>270</v>
      </c>
      <c r="L94" s="118">
        <f t="shared" si="24"/>
        <v>270</v>
      </c>
      <c r="M94" s="118">
        <v>270</v>
      </c>
      <c r="N94" s="118"/>
      <c r="O94" s="118"/>
      <c r="P94" s="118"/>
      <c r="Q94" s="116"/>
      <c r="R94" s="116"/>
      <c r="S94" s="116"/>
      <c r="T94" s="116"/>
      <c r="U94" s="116"/>
      <c r="V94" s="116"/>
      <c r="W94" s="116">
        <v>270</v>
      </c>
      <c r="X94" s="116" t="s">
        <v>144</v>
      </c>
      <c r="Y94" s="116" t="s">
        <v>145</v>
      </c>
      <c r="Z94" s="116"/>
      <c r="AA94" s="119" t="s">
        <v>327</v>
      </c>
    </row>
    <row r="95" s="100" customFormat="1" ht="92" customHeight="1" spans="1:27">
      <c r="A95" s="116">
        <v>81</v>
      </c>
      <c r="B95" s="116" t="s">
        <v>597</v>
      </c>
      <c r="C95" s="116" t="s">
        <v>598</v>
      </c>
      <c r="D95" s="116" t="s">
        <v>33</v>
      </c>
      <c r="E95" s="116" t="s">
        <v>211</v>
      </c>
      <c r="F95" s="116" t="s">
        <v>38</v>
      </c>
      <c r="G95" s="116" t="s">
        <v>599</v>
      </c>
      <c r="H95" s="117" t="s">
        <v>600</v>
      </c>
      <c r="I95" s="116" t="s">
        <v>150</v>
      </c>
      <c r="J95" s="116">
        <v>1500</v>
      </c>
      <c r="K95" s="118">
        <f t="shared" si="23"/>
        <v>350</v>
      </c>
      <c r="L95" s="118">
        <f t="shared" si="24"/>
        <v>350</v>
      </c>
      <c r="M95" s="118">
        <v>350</v>
      </c>
      <c r="N95" s="118"/>
      <c r="O95" s="118"/>
      <c r="P95" s="118"/>
      <c r="Q95" s="116"/>
      <c r="R95" s="116"/>
      <c r="S95" s="116"/>
      <c r="T95" s="116"/>
      <c r="U95" s="116"/>
      <c r="V95" s="116"/>
      <c r="W95" s="116">
        <v>300</v>
      </c>
      <c r="X95" s="116" t="s">
        <v>376</v>
      </c>
      <c r="Y95" s="116" t="s">
        <v>377</v>
      </c>
      <c r="Z95" s="116"/>
      <c r="AA95" s="119" t="s">
        <v>337</v>
      </c>
    </row>
    <row r="96" s="100" customFormat="1" ht="152" customHeight="1" spans="1:27">
      <c r="A96" s="116">
        <v>82</v>
      </c>
      <c r="B96" s="116" t="s">
        <v>601</v>
      </c>
      <c r="C96" s="116" t="s">
        <v>602</v>
      </c>
      <c r="D96" s="116" t="s">
        <v>33</v>
      </c>
      <c r="E96" s="116" t="s">
        <v>574</v>
      </c>
      <c r="F96" s="116" t="s">
        <v>38</v>
      </c>
      <c r="G96" s="116" t="s">
        <v>603</v>
      </c>
      <c r="H96" s="117" t="s">
        <v>604</v>
      </c>
      <c r="I96" s="116" t="s">
        <v>165</v>
      </c>
      <c r="J96" s="116">
        <v>2</v>
      </c>
      <c r="K96" s="118">
        <f t="shared" si="23"/>
        <v>240</v>
      </c>
      <c r="L96" s="118">
        <f t="shared" si="24"/>
        <v>240</v>
      </c>
      <c r="M96" s="118">
        <v>240</v>
      </c>
      <c r="N96" s="118"/>
      <c r="O96" s="118"/>
      <c r="P96" s="118"/>
      <c r="Q96" s="116"/>
      <c r="R96" s="116"/>
      <c r="S96" s="116"/>
      <c r="T96" s="116"/>
      <c r="U96" s="116"/>
      <c r="V96" s="116"/>
      <c r="W96" s="116">
        <v>240</v>
      </c>
      <c r="X96" s="116" t="s">
        <v>144</v>
      </c>
      <c r="Y96" s="116" t="s">
        <v>145</v>
      </c>
      <c r="Z96" s="116"/>
      <c r="AA96" s="119" t="s">
        <v>327</v>
      </c>
    </row>
    <row r="97" s="100" customFormat="1" ht="113" customHeight="1" spans="1:27">
      <c r="A97" s="116">
        <v>83</v>
      </c>
      <c r="B97" s="116" t="s">
        <v>605</v>
      </c>
      <c r="C97" s="116" t="s">
        <v>606</v>
      </c>
      <c r="D97" s="116" t="s">
        <v>33</v>
      </c>
      <c r="E97" s="116" t="s">
        <v>138</v>
      </c>
      <c r="F97" s="137" t="s">
        <v>38</v>
      </c>
      <c r="G97" s="119" t="s">
        <v>139</v>
      </c>
      <c r="H97" s="122" t="s">
        <v>607</v>
      </c>
      <c r="I97" s="119" t="s">
        <v>150</v>
      </c>
      <c r="J97" s="119">
        <v>5000</v>
      </c>
      <c r="K97" s="118">
        <f t="shared" si="23"/>
        <v>395</v>
      </c>
      <c r="L97" s="118">
        <f t="shared" si="24"/>
        <v>395</v>
      </c>
      <c r="M97" s="118">
        <v>395</v>
      </c>
      <c r="N97" s="123"/>
      <c r="O97" s="123"/>
      <c r="P97" s="123"/>
      <c r="Q97" s="119"/>
      <c r="R97" s="119"/>
      <c r="S97" s="119"/>
      <c r="T97" s="119"/>
      <c r="U97" s="137"/>
      <c r="V97" s="137"/>
      <c r="W97" s="119">
        <v>395</v>
      </c>
      <c r="X97" s="116" t="s">
        <v>144</v>
      </c>
      <c r="Y97" s="116" t="s">
        <v>145</v>
      </c>
      <c r="Z97" s="116"/>
      <c r="AA97" s="119" t="s">
        <v>327</v>
      </c>
    </row>
    <row r="98" s="100" customFormat="1" ht="139" customHeight="1" spans="1:27">
      <c r="A98" s="116">
        <v>84</v>
      </c>
      <c r="B98" s="116" t="s">
        <v>608</v>
      </c>
      <c r="C98" s="116" t="s">
        <v>137</v>
      </c>
      <c r="D98" s="116" t="s">
        <v>33</v>
      </c>
      <c r="E98" s="116" t="s">
        <v>138</v>
      </c>
      <c r="F98" s="137" t="s">
        <v>38</v>
      </c>
      <c r="G98" s="119" t="s">
        <v>139</v>
      </c>
      <c r="H98" s="122" t="s">
        <v>140</v>
      </c>
      <c r="I98" s="119" t="s">
        <v>141</v>
      </c>
      <c r="J98" s="119">
        <v>1</v>
      </c>
      <c r="K98" s="118">
        <f t="shared" si="23"/>
        <v>395</v>
      </c>
      <c r="L98" s="118">
        <f t="shared" si="24"/>
        <v>395</v>
      </c>
      <c r="M98" s="118"/>
      <c r="N98" s="123">
        <v>395</v>
      </c>
      <c r="O98" s="123"/>
      <c r="P98" s="123"/>
      <c r="Q98" s="119"/>
      <c r="R98" s="119"/>
      <c r="S98" s="119"/>
      <c r="T98" s="119"/>
      <c r="U98" s="137"/>
      <c r="V98" s="137"/>
      <c r="W98" s="119">
        <v>395</v>
      </c>
      <c r="X98" s="116" t="s">
        <v>144</v>
      </c>
      <c r="Y98" s="116" t="s">
        <v>145</v>
      </c>
      <c r="Z98" s="116"/>
      <c r="AA98" s="119" t="s">
        <v>314</v>
      </c>
    </row>
    <row r="99" s="100" customFormat="1" ht="97" customHeight="1" spans="1:27">
      <c r="A99" s="116">
        <v>85</v>
      </c>
      <c r="B99" s="116" t="s">
        <v>609</v>
      </c>
      <c r="C99" s="116" t="s">
        <v>610</v>
      </c>
      <c r="D99" s="116" t="s">
        <v>33</v>
      </c>
      <c r="E99" s="116" t="s">
        <v>37</v>
      </c>
      <c r="F99" s="137" t="s">
        <v>38</v>
      </c>
      <c r="G99" s="119" t="s">
        <v>611</v>
      </c>
      <c r="H99" s="122" t="s">
        <v>612</v>
      </c>
      <c r="I99" s="119" t="s">
        <v>41</v>
      </c>
      <c r="J99" s="119">
        <v>60</v>
      </c>
      <c r="K99" s="118">
        <f t="shared" si="23"/>
        <v>630</v>
      </c>
      <c r="L99" s="118">
        <f t="shared" si="24"/>
        <v>630</v>
      </c>
      <c r="M99" s="118"/>
      <c r="N99" s="123"/>
      <c r="O99" s="123"/>
      <c r="P99" s="123">
        <v>630</v>
      </c>
      <c r="Q99" s="119"/>
      <c r="R99" s="119"/>
      <c r="S99" s="119"/>
      <c r="T99" s="119"/>
      <c r="U99" s="137"/>
      <c r="V99" s="137"/>
      <c r="W99" s="119">
        <v>630</v>
      </c>
      <c r="X99" s="116" t="s">
        <v>613</v>
      </c>
      <c r="Y99" s="116" t="s">
        <v>614</v>
      </c>
      <c r="Z99" s="116"/>
      <c r="AA99" s="119" t="s">
        <v>327</v>
      </c>
    </row>
    <row r="100" s="100" customFormat="1" ht="97" customHeight="1" spans="1:27">
      <c r="A100" s="116">
        <v>86</v>
      </c>
      <c r="B100" s="116" t="s">
        <v>615</v>
      </c>
      <c r="C100" s="116" t="s">
        <v>616</v>
      </c>
      <c r="D100" s="116" t="s">
        <v>33</v>
      </c>
      <c r="E100" s="116" t="s">
        <v>37</v>
      </c>
      <c r="F100" s="137" t="s">
        <v>38</v>
      </c>
      <c r="G100" s="119" t="s">
        <v>254</v>
      </c>
      <c r="H100" s="122" t="s">
        <v>617</v>
      </c>
      <c r="I100" s="119" t="s">
        <v>165</v>
      </c>
      <c r="J100" s="119">
        <v>1</v>
      </c>
      <c r="K100" s="118">
        <f t="shared" si="23"/>
        <v>120</v>
      </c>
      <c r="L100" s="118">
        <f t="shared" si="24"/>
        <v>120</v>
      </c>
      <c r="M100" s="118"/>
      <c r="N100" s="123"/>
      <c r="O100" s="123"/>
      <c r="P100" s="123">
        <v>120</v>
      </c>
      <c r="Q100" s="119"/>
      <c r="R100" s="119"/>
      <c r="S100" s="119"/>
      <c r="T100" s="119"/>
      <c r="U100" s="137"/>
      <c r="V100" s="137"/>
      <c r="W100" s="119">
        <v>2000</v>
      </c>
      <c r="X100" s="116" t="s">
        <v>613</v>
      </c>
      <c r="Y100" s="116" t="s">
        <v>614</v>
      </c>
      <c r="Z100" s="116"/>
      <c r="AA100" s="119" t="s">
        <v>327</v>
      </c>
    </row>
    <row r="101" s="100" customFormat="1" ht="97" customHeight="1" spans="1:27">
      <c r="A101" s="116">
        <v>87</v>
      </c>
      <c r="B101" s="116" t="s">
        <v>618</v>
      </c>
      <c r="C101" s="116" t="s">
        <v>619</v>
      </c>
      <c r="D101" s="116" t="s">
        <v>33</v>
      </c>
      <c r="E101" s="116" t="s">
        <v>211</v>
      </c>
      <c r="F101" s="116" t="s">
        <v>38</v>
      </c>
      <c r="G101" s="116" t="s">
        <v>539</v>
      </c>
      <c r="H101" s="117" t="s">
        <v>620</v>
      </c>
      <c r="I101" s="119" t="s">
        <v>41</v>
      </c>
      <c r="J101" s="116">
        <v>600</v>
      </c>
      <c r="K101" s="118">
        <f t="shared" si="23"/>
        <v>980</v>
      </c>
      <c r="L101" s="118">
        <f t="shared" si="24"/>
        <v>980</v>
      </c>
      <c r="M101" s="118"/>
      <c r="N101" s="123">
        <v>980</v>
      </c>
      <c r="O101" s="123"/>
      <c r="P101" s="123"/>
      <c r="Q101" s="119"/>
      <c r="R101" s="119"/>
      <c r="S101" s="119"/>
      <c r="T101" s="119"/>
      <c r="U101" s="137"/>
      <c r="V101" s="137"/>
      <c r="W101" s="119">
        <v>100</v>
      </c>
      <c r="X101" s="116" t="s">
        <v>44</v>
      </c>
      <c r="Y101" s="116" t="s">
        <v>45</v>
      </c>
      <c r="Z101" s="116"/>
      <c r="AA101" s="119" t="s">
        <v>327</v>
      </c>
    </row>
    <row r="102" s="100" customFormat="1" ht="119" customHeight="1" spans="1:27">
      <c r="A102" s="116">
        <v>88</v>
      </c>
      <c r="B102" s="116" t="s">
        <v>136</v>
      </c>
      <c r="C102" s="116" t="s">
        <v>621</v>
      </c>
      <c r="D102" s="116" t="s">
        <v>33</v>
      </c>
      <c r="E102" s="116" t="s">
        <v>211</v>
      </c>
      <c r="F102" s="116" t="s">
        <v>38</v>
      </c>
      <c r="G102" s="116" t="s">
        <v>539</v>
      </c>
      <c r="H102" s="117" t="s">
        <v>622</v>
      </c>
      <c r="I102" s="119" t="s">
        <v>160</v>
      </c>
      <c r="J102" s="116">
        <v>21</v>
      </c>
      <c r="K102" s="118">
        <f t="shared" si="23"/>
        <v>1700</v>
      </c>
      <c r="L102" s="118">
        <f t="shared" si="24"/>
        <v>1700</v>
      </c>
      <c r="M102" s="118"/>
      <c r="N102" s="118">
        <v>1700</v>
      </c>
      <c r="O102" s="118"/>
      <c r="P102" s="118"/>
      <c r="Q102" s="116"/>
      <c r="R102" s="116"/>
      <c r="S102" s="116"/>
      <c r="T102" s="116"/>
      <c r="U102" s="116"/>
      <c r="V102" s="116"/>
      <c r="W102" s="116">
        <v>3000</v>
      </c>
      <c r="X102" s="116" t="s">
        <v>623</v>
      </c>
      <c r="Y102" s="116" t="s">
        <v>624</v>
      </c>
      <c r="Z102" s="116"/>
      <c r="AA102" s="119" t="s">
        <v>327</v>
      </c>
    </row>
    <row r="103" s="100" customFormat="1" ht="105" customHeight="1" spans="1:27">
      <c r="A103" s="116">
        <v>89</v>
      </c>
      <c r="B103" s="116" t="s">
        <v>157</v>
      </c>
      <c r="C103" s="116" t="s">
        <v>625</v>
      </c>
      <c r="D103" s="116" t="s">
        <v>33</v>
      </c>
      <c r="E103" s="116" t="s">
        <v>37</v>
      </c>
      <c r="F103" s="116" t="s">
        <v>38</v>
      </c>
      <c r="G103" s="116" t="s">
        <v>42</v>
      </c>
      <c r="H103" s="117" t="s">
        <v>626</v>
      </c>
      <c r="I103" s="116" t="s">
        <v>160</v>
      </c>
      <c r="J103" s="116">
        <v>4</v>
      </c>
      <c r="K103" s="118">
        <f t="shared" si="23"/>
        <v>280</v>
      </c>
      <c r="L103" s="118">
        <f t="shared" si="24"/>
        <v>280</v>
      </c>
      <c r="M103" s="118"/>
      <c r="N103" s="118"/>
      <c r="O103" s="118"/>
      <c r="P103" s="118">
        <v>280</v>
      </c>
      <c r="Q103" s="116"/>
      <c r="R103" s="116"/>
      <c r="S103" s="116"/>
      <c r="T103" s="116"/>
      <c r="U103" s="116"/>
      <c r="V103" s="116"/>
      <c r="W103" s="116">
        <v>450</v>
      </c>
      <c r="X103" s="116" t="s">
        <v>623</v>
      </c>
      <c r="Y103" s="116" t="s">
        <v>624</v>
      </c>
      <c r="Z103" s="116"/>
      <c r="AA103" s="119" t="s">
        <v>327</v>
      </c>
    </row>
    <row r="104" s="100" customFormat="1" ht="105" customHeight="1" spans="1:27">
      <c r="A104" s="116">
        <v>90</v>
      </c>
      <c r="B104" s="116" t="s">
        <v>627</v>
      </c>
      <c r="C104" s="116" t="s">
        <v>628</v>
      </c>
      <c r="D104" s="116" t="s">
        <v>33</v>
      </c>
      <c r="E104" s="116" t="s">
        <v>37</v>
      </c>
      <c r="F104" s="116" t="s">
        <v>38</v>
      </c>
      <c r="G104" s="116" t="s">
        <v>190</v>
      </c>
      <c r="H104" s="117" t="s">
        <v>629</v>
      </c>
      <c r="I104" s="116" t="s">
        <v>160</v>
      </c>
      <c r="J104" s="116">
        <v>28.4</v>
      </c>
      <c r="K104" s="118">
        <f t="shared" si="23"/>
        <v>2130</v>
      </c>
      <c r="L104" s="118">
        <f t="shared" si="24"/>
        <v>2130</v>
      </c>
      <c r="M104" s="118">
        <f>28.4*75-210</f>
        <v>1920</v>
      </c>
      <c r="N104" s="118"/>
      <c r="O104" s="118"/>
      <c r="P104" s="118"/>
      <c r="Q104" s="116"/>
      <c r="R104" s="116">
        <v>210</v>
      </c>
      <c r="S104" s="116"/>
      <c r="T104" s="116"/>
      <c r="U104" s="116"/>
      <c r="V104" s="116"/>
      <c r="W104" s="116">
        <v>1020</v>
      </c>
      <c r="X104" s="116" t="s">
        <v>623</v>
      </c>
      <c r="Y104" s="116" t="s">
        <v>624</v>
      </c>
      <c r="Z104" s="116"/>
      <c r="AA104" s="119" t="s">
        <v>327</v>
      </c>
    </row>
    <row r="105" s="100" customFormat="1" ht="105" customHeight="1" spans="1:27">
      <c r="A105" s="116">
        <v>91</v>
      </c>
      <c r="B105" s="116" t="s">
        <v>630</v>
      </c>
      <c r="C105" s="116" t="s">
        <v>631</v>
      </c>
      <c r="D105" s="116" t="s">
        <v>33</v>
      </c>
      <c r="E105" s="116" t="s">
        <v>37</v>
      </c>
      <c r="F105" s="116" t="s">
        <v>38</v>
      </c>
      <c r="G105" s="116" t="s">
        <v>48</v>
      </c>
      <c r="H105" s="117" t="s">
        <v>632</v>
      </c>
      <c r="I105" s="116" t="s">
        <v>160</v>
      </c>
      <c r="J105" s="116">
        <v>16</v>
      </c>
      <c r="K105" s="118">
        <f t="shared" si="23"/>
        <v>1200</v>
      </c>
      <c r="L105" s="118">
        <f t="shared" si="24"/>
        <v>1200</v>
      </c>
      <c r="M105" s="118"/>
      <c r="N105" s="118">
        <v>1200</v>
      </c>
      <c r="O105" s="118"/>
      <c r="P105" s="118"/>
      <c r="Q105" s="116"/>
      <c r="R105" s="116"/>
      <c r="S105" s="116"/>
      <c r="T105" s="116"/>
      <c r="U105" s="116"/>
      <c r="V105" s="116"/>
      <c r="W105" s="116">
        <v>1200</v>
      </c>
      <c r="X105" s="116" t="s">
        <v>623</v>
      </c>
      <c r="Y105" s="116" t="s">
        <v>624</v>
      </c>
      <c r="Z105" s="116"/>
      <c r="AA105" s="119" t="s">
        <v>327</v>
      </c>
    </row>
    <row r="106" s="100" customFormat="1" ht="105" customHeight="1" spans="1:27">
      <c r="A106" s="116">
        <v>92</v>
      </c>
      <c r="B106" s="116" t="s">
        <v>633</v>
      </c>
      <c r="C106" s="116" t="s">
        <v>634</v>
      </c>
      <c r="D106" s="116" t="s">
        <v>33</v>
      </c>
      <c r="E106" s="116" t="s">
        <v>37</v>
      </c>
      <c r="F106" s="116" t="s">
        <v>38</v>
      </c>
      <c r="G106" s="116" t="s">
        <v>53</v>
      </c>
      <c r="H106" s="117" t="s">
        <v>635</v>
      </c>
      <c r="I106" s="116" t="s">
        <v>160</v>
      </c>
      <c r="J106" s="116">
        <v>17</v>
      </c>
      <c r="K106" s="118">
        <f t="shared" si="23"/>
        <v>1275</v>
      </c>
      <c r="L106" s="118">
        <f t="shared" si="24"/>
        <v>1275</v>
      </c>
      <c r="M106" s="118"/>
      <c r="N106" s="118">
        <v>1275</v>
      </c>
      <c r="O106" s="118"/>
      <c r="P106" s="118"/>
      <c r="Q106" s="116"/>
      <c r="R106" s="116"/>
      <c r="S106" s="116"/>
      <c r="T106" s="116"/>
      <c r="U106" s="116"/>
      <c r="V106" s="116"/>
      <c r="W106" s="116">
        <v>525</v>
      </c>
      <c r="X106" s="116" t="s">
        <v>623</v>
      </c>
      <c r="Y106" s="116" t="s">
        <v>624</v>
      </c>
      <c r="Z106" s="116"/>
      <c r="AA106" s="119" t="s">
        <v>327</v>
      </c>
    </row>
    <row r="107" s="100" customFormat="1" ht="105" customHeight="1" spans="1:27">
      <c r="A107" s="116">
        <v>93</v>
      </c>
      <c r="B107" s="116" t="s">
        <v>636</v>
      </c>
      <c r="C107" s="116" t="s">
        <v>637</v>
      </c>
      <c r="D107" s="116" t="s">
        <v>33</v>
      </c>
      <c r="E107" s="116" t="s">
        <v>37</v>
      </c>
      <c r="F107" s="116" t="s">
        <v>38</v>
      </c>
      <c r="G107" s="116" t="s">
        <v>173</v>
      </c>
      <c r="H107" s="117" t="s">
        <v>638</v>
      </c>
      <c r="I107" s="116" t="s">
        <v>160</v>
      </c>
      <c r="J107" s="116">
        <v>12.264</v>
      </c>
      <c r="K107" s="118">
        <f t="shared" si="23"/>
        <v>919.8</v>
      </c>
      <c r="L107" s="118">
        <f t="shared" si="24"/>
        <v>919.8</v>
      </c>
      <c r="M107" s="118"/>
      <c r="N107" s="118"/>
      <c r="O107" s="118"/>
      <c r="P107" s="118">
        <v>919.8</v>
      </c>
      <c r="Q107" s="116"/>
      <c r="R107" s="116"/>
      <c r="S107" s="116"/>
      <c r="T107" s="116"/>
      <c r="U107" s="116"/>
      <c r="V107" s="116"/>
      <c r="W107" s="116">
        <v>1027</v>
      </c>
      <c r="X107" s="116" t="s">
        <v>623</v>
      </c>
      <c r="Y107" s="116" t="s">
        <v>624</v>
      </c>
      <c r="Z107" s="116"/>
      <c r="AA107" s="119" t="s">
        <v>327</v>
      </c>
    </row>
    <row r="108" s="100" customFormat="1" ht="105" customHeight="1" spans="1:27">
      <c r="A108" s="116">
        <v>94</v>
      </c>
      <c r="B108" s="116" t="s">
        <v>639</v>
      </c>
      <c r="C108" s="116" t="s">
        <v>640</v>
      </c>
      <c r="D108" s="116" t="s">
        <v>33</v>
      </c>
      <c r="E108" s="116" t="s">
        <v>37</v>
      </c>
      <c r="F108" s="116" t="s">
        <v>38</v>
      </c>
      <c r="G108" s="116" t="s">
        <v>58</v>
      </c>
      <c r="H108" s="117" t="s">
        <v>641</v>
      </c>
      <c r="I108" s="116" t="s">
        <v>160</v>
      </c>
      <c r="J108" s="116">
        <v>5.5</v>
      </c>
      <c r="K108" s="118">
        <f t="shared" si="23"/>
        <v>412.5</v>
      </c>
      <c r="L108" s="118">
        <f t="shared" si="24"/>
        <v>412.5</v>
      </c>
      <c r="M108" s="118"/>
      <c r="N108" s="118"/>
      <c r="O108" s="118"/>
      <c r="P108" s="118">
        <f>J108*75</f>
        <v>412.5</v>
      </c>
      <c r="Q108" s="116"/>
      <c r="R108" s="116"/>
      <c r="S108" s="116"/>
      <c r="T108" s="116"/>
      <c r="U108" s="116"/>
      <c r="V108" s="116"/>
      <c r="W108" s="116">
        <v>375</v>
      </c>
      <c r="X108" s="116" t="s">
        <v>623</v>
      </c>
      <c r="Y108" s="116" t="s">
        <v>624</v>
      </c>
      <c r="Z108" s="116"/>
      <c r="AA108" s="119" t="s">
        <v>327</v>
      </c>
    </row>
    <row r="109" s="100" customFormat="1" ht="105" customHeight="1" spans="1:27">
      <c r="A109" s="116">
        <v>95</v>
      </c>
      <c r="B109" s="116" t="s">
        <v>184</v>
      </c>
      <c r="C109" s="116" t="s">
        <v>642</v>
      </c>
      <c r="D109" s="116" t="s">
        <v>33</v>
      </c>
      <c r="E109" s="116" t="s">
        <v>37</v>
      </c>
      <c r="F109" s="116" t="s">
        <v>38</v>
      </c>
      <c r="G109" s="116" t="s">
        <v>643</v>
      </c>
      <c r="H109" s="117" t="s">
        <v>644</v>
      </c>
      <c r="I109" s="116" t="s">
        <v>160</v>
      </c>
      <c r="J109" s="116">
        <v>14.6</v>
      </c>
      <c r="K109" s="118">
        <f t="shared" si="23"/>
        <v>1095</v>
      </c>
      <c r="L109" s="118">
        <f t="shared" si="24"/>
        <v>1095</v>
      </c>
      <c r="M109" s="118"/>
      <c r="N109" s="118">
        <v>1095</v>
      </c>
      <c r="O109" s="118"/>
      <c r="P109" s="118"/>
      <c r="Q109" s="116"/>
      <c r="R109" s="116"/>
      <c r="S109" s="116"/>
      <c r="T109" s="116"/>
      <c r="U109" s="116"/>
      <c r="V109" s="116"/>
      <c r="W109" s="116">
        <v>1095</v>
      </c>
      <c r="X109" s="116" t="s">
        <v>623</v>
      </c>
      <c r="Y109" s="116" t="s">
        <v>624</v>
      </c>
      <c r="Z109" s="116"/>
      <c r="AA109" s="119" t="s">
        <v>327</v>
      </c>
    </row>
    <row r="110" s="100" customFormat="1" ht="105" customHeight="1" spans="1:27">
      <c r="A110" s="116">
        <v>96</v>
      </c>
      <c r="B110" s="116" t="s">
        <v>187</v>
      </c>
      <c r="C110" s="116" t="s">
        <v>645</v>
      </c>
      <c r="D110" s="116" t="s">
        <v>33</v>
      </c>
      <c r="E110" s="116" t="s">
        <v>37</v>
      </c>
      <c r="F110" s="116" t="s">
        <v>38</v>
      </c>
      <c r="G110" s="116" t="s">
        <v>63</v>
      </c>
      <c r="H110" s="117" t="s">
        <v>646</v>
      </c>
      <c r="I110" s="116" t="s">
        <v>160</v>
      </c>
      <c r="J110" s="116">
        <v>10.7</v>
      </c>
      <c r="K110" s="118">
        <f t="shared" si="23"/>
        <v>802.5</v>
      </c>
      <c r="L110" s="118">
        <f t="shared" si="24"/>
        <v>802.5</v>
      </c>
      <c r="M110" s="118"/>
      <c r="N110" s="118">
        <v>802.5</v>
      </c>
      <c r="O110" s="118"/>
      <c r="P110" s="118"/>
      <c r="Q110" s="116"/>
      <c r="R110" s="116"/>
      <c r="S110" s="116"/>
      <c r="T110" s="116"/>
      <c r="U110" s="116"/>
      <c r="V110" s="116"/>
      <c r="W110" s="116">
        <v>802</v>
      </c>
      <c r="X110" s="116" t="s">
        <v>623</v>
      </c>
      <c r="Y110" s="116" t="s">
        <v>624</v>
      </c>
      <c r="Z110" s="116"/>
      <c r="AA110" s="119" t="s">
        <v>327</v>
      </c>
    </row>
    <row r="111" s="100" customFormat="1" ht="105" customHeight="1" spans="1:27">
      <c r="A111" s="116">
        <v>97</v>
      </c>
      <c r="B111" s="116" t="s">
        <v>206</v>
      </c>
      <c r="C111" s="116" t="s">
        <v>647</v>
      </c>
      <c r="D111" s="116" t="s">
        <v>33</v>
      </c>
      <c r="E111" s="116" t="s">
        <v>37</v>
      </c>
      <c r="F111" s="116" t="s">
        <v>38</v>
      </c>
      <c r="G111" s="116" t="s">
        <v>73</v>
      </c>
      <c r="H111" s="117" t="s">
        <v>648</v>
      </c>
      <c r="I111" s="116" t="s">
        <v>160</v>
      </c>
      <c r="J111" s="116">
        <v>20</v>
      </c>
      <c r="K111" s="118">
        <f t="shared" si="23"/>
        <v>1500</v>
      </c>
      <c r="L111" s="118">
        <f t="shared" si="24"/>
        <v>1500</v>
      </c>
      <c r="M111" s="118">
        <v>1500</v>
      </c>
      <c r="N111" s="118"/>
      <c r="O111" s="118"/>
      <c r="P111" s="118"/>
      <c r="Q111" s="116"/>
      <c r="R111" s="116"/>
      <c r="S111" s="116"/>
      <c r="T111" s="116"/>
      <c r="U111" s="116"/>
      <c r="V111" s="116"/>
      <c r="W111" s="116">
        <v>1500</v>
      </c>
      <c r="X111" s="116" t="s">
        <v>623</v>
      </c>
      <c r="Y111" s="116" t="s">
        <v>624</v>
      </c>
      <c r="Z111" s="116"/>
      <c r="AA111" s="119" t="s">
        <v>327</v>
      </c>
    </row>
    <row r="112" s="100" customFormat="1" ht="105" customHeight="1" spans="1:27">
      <c r="A112" s="116">
        <v>98</v>
      </c>
      <c r="B112" s="116" t="s">
        <v>202</v>
      </c>
      <c r="C112" s="116" t="s">
        <v>649</v>
      </c>
      <c r="D112" s="116" t="s">
        <v>33</v>
      </c>
      <c r="E112" s="116" t="s">
        <v>37</v>
      </c>
      <c r="F112" s="116" t="s">
        <v>38</v>
      </c>
      <c r="G112" s="116" t="s">
        <v>77</v>
      </c>
      <c r="H112" s="117" t="s">
        <v>648</v>
      </c>
      <c r="I112" s="116" t="s">
        <v>160</v>
      </c>
      <c r="J112" s="116">
        <v>20</v>
      </c>
      <c r="K112" s="118">
        <f t="shared" si="23"/>
        <v>1500</v>
      </c>
      <c r="L112" s="118">
        <f t="shared" si="24"/>
        <v>1500</v>
      </c>
      <c r="M112" s="118">
        <v>1500</v>
      </c>
      <c r="N112" s="118"/>
      <c r="O112" s="118"/>
      <c r="P112" s="118"/>
      <c r="Q112" s="116"/>
      <c r="R112" s="116"/>
      <c r="S112" s="116"/>
      <c r="T112" s="116"/>
      <c r="U112" s="116"/>
      <c r="V112" s="116"/>
      <c r="W112" s="116">
        <v>1500</v>
      </c>
      <c r="X112" s="116" t="s">
        <v>623</v>
      </c>
      <c r="Y112" s="116" t="s">
        <v>624</v>
      </c>
      <c r="Z112" s="116"/>
      <c r="AA112" s="119" t="s">
        <v>327</v>
      </c>
    </row>
    <row r="113" s="100" customFormat="1" ht="105" customHeight="1" spans="1:27">
      <c r="A113" s="116">
        <v>99</v>
      </c>
      <c r="B113" s="116" t="s">
        <v>199</v>
      </c>
      <c r="C113" s="116" t="s">
        <v>650</v>
      </c>
      <c r="D113" s="116" t="s">
        <v>33</v>
      </c>
      <c r="E113" s="116" t="s">
        <v>37</v>
      </c>
      <c r="F113" s="116" t="s">
        <v>38</v>
      </c>
      <c r="G113" s="116" t="s">
        <v>84</v>
      </c>
      <c r="H113" s="117" t="s">
        <v>651</v>
      </c>
      <c r="I113" s="116" t="s">
        <v>160</v>
      </c>
      <c r="J113" s="116">
        <v>23.1</v>
      </c>
      <c r="K113" s="118">
        <f t="shared" si="23"/>
        <v>1732.5</v>
      </c>
      <c r="L113" s="118">
        <f t="shared" si="24"/>
        <v>1732.5</v>
      </c>
      <c r="M113" s="118"/>
      <c r="N113" s="118">
        <v>1732.5</v>
      </c>
      <c r="O113" s="118"/>
      <c r="P113" s="118"/>
      <c r="Q113" s="116"/>
      <c r="R113" s="116"/>
      <c r="S113" s="116"/>
      <c r="T113" s="116"/>
      <c r="U113" s="116"/>
      <c r="V113" s="116"/>
      <c r="W113" s="116">
        <v>1732</v>
      </c>
      <c r="X113" s="116" t="s">
        <v>623</v>
      </c>
      <c r="Y113" s="116" t="s">
        <v>624</v>
      </c>
      <c r="Z113" s="116"/>
      <c r="AA113" s="119" t="s">
        <v>327</v>
      </c>
    </row>
    <row r="114" s="100" customFormat="1" ht="105" customHeight="1" spans="1:27">
      <c r="A114" s="116">
        <v>100</v>
      </c>
      <c r="B114" s="116" t="s">
        <v>192</v>
      </c>
      <c r="C114" s="116" t="s">
        <v>652</v>
      </c>
      <c r="D114" s="116" t="s">
        <v>33</v>
      </c>
      <c r="E114" s="116" t="s">
        <v>37</v>
      </c>
      <c r="F114" s="116" t="s">
        <v>38</v>
      </c>
      <c r="G114" s="116" t="s">
        <v>261</v>
      </c>
      <c r="H114" s="117" t="s">
        <v>653</v>
      </c>
      <c r="I114" s="116" t="s">
        <v>160</v>
      </c>
      <c r="J114" s="116">
        <v>7.2</v>
      </c>
      <c r="K114" s="118">
        <f t="shared" si="23"/>
        <v>540</v>
      </c>
      <c r="L114" s="118">
        <f t="shared" si="24"/>
        <v>540</v>
      </c>
      <c r="M114" s="118">
        <v>540</v>
      </c>
      <c r="N114" s="118"/>
      <c r="O114" s="118"/>
      <c r="P114" s="118"/>
      <c r="Q114" s="116"/>
      <c r="R114" s="116"/>
      <c r="S114" s="116"/>
      <c r="T114" s="116"/>
      <c r="U114" s="116"/>
      <c r="V114" s="116"/>
      <c r="W114" s="116">
        <v>540</v>
      </c>
      <c r="X114" s="116" t="s">
        <v>623</v>
      </c>
      <c r="Y114" s="116" t="s">
        <v>624</v>
      </c>
      <c r="Z114" s="116"/>
      <c r="AA114" s="119" t="s">
        <v>337</v>
      </c>
    </row>
    <row r="115" s="100" customFormat="1" ht="105" customHeight="1" spans="1:27">
      <c r="A115" s="116">
        <v>101</v>
      </c>
      <c r="B115" s="116" t="s">
        <v>654</v>
      </c>
      <c r="C115" s="116" t="s">
        <v>655</v>
      </c>
      <c r="D115" s="116" t="s">
        <v>33</v>
      </c>
      <c r="E115" s="116" t="s">
        <v>37</v>
      </c>
      <c r="F115" s="116" t="s">
        <v>38</v>
      </c>
      <c r="G115" s="116" t="s">
        <v>88</v>
      </c>
      <c r="H115" s="117" t="s">
        <v>648</v>
      </c>
      <c r="I115" s="116" t="s">
        <v>160</v>
      </c>
      <c r="J115" s="116">
        <v>20</v>
      </c>
      <c r="K115" s="118">
        <f t="shared" si="23"/>
        <v>1500</v>
      </c>
      <c r="L115" s="118">
        <f t="shared" si="24"/>
        <v>1500</v>
      </c>
      <c r="M115" s="118">
        <v>1500</v>
      </c>
      <c r="N115" s="118"/>
      <c r="O115" s="118"/>
      <c r="P115" s="118"/>
      <c r="Q115" s="116"/>
      <c r="R115" s="116"/>
      <c r="S115" s="116"/>
      <c r="T115" s="116"/>
      <c r="U115" s="116"/>
      <c r="V115" s="116"/>
      <c r="W115" s="116">
        <v>1500</v>
      </c>
      <c r="X115" s="116" t="s">
        <v>623</v>
      </c>
      <c r="Y115" s="116" t="s">
        <v>624</v>
      </c>
      <c r="Z115" s="116"/>
      <c r="AA115" s="119" t="s">
        <v>327</v>
      </c>
    </row>
    <row r="116" s="100" customFormat="1" ht="105" customHeight="1" spans="1:27">
      <c r="A116" s="116">
        <v>102</v>
      </c>
      <c r="B116" s="116" t="s">
        <v>656</v>
      </c>
      <c r="C116" s="116" t="s">
        <v>657</v>
      </c>
      <c r="D116" s="116" t="s">
        <v>33</v>
      </c>
      <c r="E116" s="116" t="s">
        <v>37</v>
      </c>
      <c r="F116" s="116" t="s">
        <v>38</v>
      </c>
      <c r="G116" s="116" t="s">
        <v>104</v>
      </c>
      <c r="H116" s="117" t="s">
        <v>658</v>
      </c>
      <c r="I116" s="116" t="s">
        <v>160</v>
      </c>
      <c r="J116" s="116">
        <v>10</v>
      </c>
      <c r="K116" s="118">
        <f t="shared" si="23"/>
        <v>750</v>
      </c>
      <c r="L116" s="118">
        <f t="shared" si="24"/>
        <v>750</v>
      </c>
      <c r="M116" s="118">
        <v>750</v>
      </c>
      <c r="N116" s="118"/>
      <c r="O116" s="118"/>
      <c r="P116" s="118"/>
      <c r="Q116" s="116"/>
      <c r="R116" s="116"/>
      <c r="S116" s="116"/>
      <c r="T116" s="116"/>
      <c r="U116" s="116"/>
      <c r="V116" s="116"/>
      <c r="W116" s="116">
        <v>562</v>
      </c>
      <c r="X116" s="116" t="s">
        <v>623</v>
      </c>
      <c r="Y116" s="116" t="s">
        <v>624</v>
      </c>
      <c r="Z116" s="116"/>
      <c r="AA116" s="119" t="s">
        <v>327</v>
      </c>
    </row>
    <row r="117" s="100" customFormat="1" ht="105" customHeight="1" spans="1:27">
      <c r="A117" s="116">
        <v>103</v>
      </c>
      <c r="B117" s="116" t="s">
        <v>659</v>
      </c>
      <c r="C117" s="116" t="s">
        <v>660</v>
      </c>
      <c r="D117" s="116" t="s">
        <v>33</v>
      </c>
      <c r="E117" s="116" t="s">
        <v>37</v>
      </c>
      <c r="F117" s="116" t="s">
        <v>38</v>
      </c>
      <c r="G117" s="116" t="s">
        <v>94</v>
      </c>
      <c r="H117" s="117" t="s">
        <v>648</v>
      </c>
      <c r="I117" s="116" t="s">
        <v>160</v>
      </c>
      <c r="J117" s="116">
        <v>20</v>
      </c>
      <c r="K117" s="118">
        <f t="shared" si="23"/>
        <v>1500</v>
      </c>
      <c r="L117" s="118">
        <f t="shared" si="24"/>
        <v>1500</v>
      </c>
      <c r="M117" s="118">
        <v>1500</v>
      </c>
      <c r="N117" s="118"/>
      <c r="O117" s="118"/>
      <c r="P117" s="118"/>
      <c r="Q117" s="116"/>
      <c r="R117" s="116"/>
      <c r="S117" s="116"/>
      <c r="T117" s="116"/>
      <c r="U117" s="116"/>
      <c r="V117" s="116"/>
      <c r="W117" s="116">
        <v>1500</v>
      </c>
      <c r="X117" s="116" t="s">
        <v>623</v>
      </c>
      <c r="Y117" s="116" t="s">
        <v>624</v>
      </c>
      <c r="Z117" s="116"/>
      <c r="AA117" s="119" t="s">
        <v>327</v>
      </c>
    </row>
    <row r="118" s="100" customFormat="1" ht="105" customHeight="1" spans="1:27">
      <c r="A118" s="116">
        <v>104</v>
      </c>
      <c r="B118" s="116" t="s">
        <v>661</v>
      </c>
      <c r="C118" s="116" t="s">
        <v>662</v>
      </c>
      <c r="D118" s="116" t="s">
        <v>33</v>
      </c>
      <c r="E118" s="116" t="s">
        <v>37</v>
      </c>
      <c r="F118" s="116" t="s">
        <v>38</v>
      </c>
      <c r="G118" s="116" t="s">
        <v>142</v>
      </c>
      <c r="H118" s="117" t="s">
        <v>663</v>
      </c>
      <c r="I118" s="116" t="s">
        <v>160</v>
      </c>
      <c r="J118" s="116">
        <v>11.2</v>
      </c>
      <c r="K118" s="118">
        <f t="shared" si="23"/>
        <v>840</v>
      </c>
      <c r="L118" s="118">
        <f t="shared" si="24"/>
        <v>840</v>
      </c>
      <c r="M118" s="118">
        <v>399</v>
      </c>
      <c r="N118" s="118"/>
      <c r="O118" s="118"/>
      <c r="P118" s="118">
        <v>441</v>
      </c>
      <c r="Q118" s="116"/>
      <c r="R118" s="116"/>
      <c r="S118" s="116"/>
      <c r="T118" s="116"/>
      <c r="U118" s="116"/>
      <c r="V118" s="116"/>
      <c r="W118" s="116">
        <v>840</v>
      </c>
      <c r="X118" s="116" t="s">
        <v>623</v>
      </c>
      <c r="Y118" s="116" t="s">
        <v>624</v>
      </c>
      <c r="Z118" s="116"/>
      <c r="AA118" s="119" t="s">
        <v>327</v>
      </c>
    </row>
    <row r="119" s="100" customFormat="1" ht="105" customHeight="1" spans="1:27">
      <c r="A119" s="116">
        <v>105</v>
      </c>
      <c r="B119" s="116" t="s">
        <v>664</v>
      </c>
      <c r="C119" s="116" t="s">
        <v>665</v>
      </c>
      <c r="D119" s="116" t="s">
        <v>33</v>
      </c>
      <c r="E119" s="116" t="s">
        <v>37</v>
      </c>
      <c r="F119" s="116" t="s">
        <v>38</v>
      </c>
      <c r="G119" s="116" t="s">
        <v>69</v>
      </c>
      <c r="H119" s="117" t="s">
        <v>658</v>
      </c>
      <c r="I119" s="116" t="s">
        <v>160</v>
      </c>
      <c r="J119" s="116">
        <v>10</v>
      </c>
      <c r="K119" s="118">
        <f t="shared" si="23"/>
        <v>750</v>
      </c>
      <c r="L119" s="118">
        <f t="shared" si="24"/>
        <v>750</v>
      </c>
      <c r="M119" s="118">
        <v>750</v>
      </c>
      <c r="N119" s="118"/>
      <c r="O119" s="118"/>
      <c r="P119" s="118"/>
      <c r="Q119" s="116"/>
      <c r="R119" s="116"/>
      <c r="S119" s="116"/>
      <c r="T119" s="116"/>
      <c r="U119" s="116"/>
      <c r="V119" s="116"/>
      <c r="W119" s="116">
        <v>750</v>
      </c>
      <c r="X119" s="116" t="s">
        <v>623</v>
      </c>
      <c r="Y119" s="116" t="s">
        <v>624</v>
      </c>
      <c r="Z119" s="116"/>
      <c r="AA119" s="119" t="s">
        <v>327</v>
      </c>
    </row>
    <row r="120" s="101" customFormat="1" ht="43" customHeight="1" spans="1:27">
      <c r="A120" s="127" t="s">
        <v>214</v>
      </c>
      <c r="B120" s="127" t="s">
        <v>215</v>
      </c>
      <c r="C120" s="127"/>
      <c r="D120" s="126"/>
      <c r="E120" s="127"/>
      <c r="F120" s="127"/>
      <c r="G120" s="127"/>
      <c r="H120" s="127">
        <v>7</v>
      </c>
      <c r="I120" s="128"/>
      <c r="J120" s="128">
        <f>K120/K7</f>
        <v>0.0406815380350196</v>
      </c>
      <c r="K120" s="129">
        <f t="shared" ref="K120:V120" si="25">SUM(K121:K127)</f>
        <v>5388.12</v>
      </c>
      <c r="L120" s="129">
        <f t="shared" si="25"/>
        <v>5271</v>
      </c>
      <c r="M120" s="129">
        <f t="shared" si="25"/>
        <v>437.4</v>
      </c>
      <c r="N120" s="129">
        <f t="shared" si="25"/>
        <v>4833.6</v>
      </c>
      <c r="O120" s="129">
        <f t="shared" si="25"/>
        <v>0</v>
      </c>
      <c r="P120" s="129">
        <f t="shared" si="25"/>
        <v>0</v>
      </c>
      <c r="Q120" s="129">
        <f t="shared" si="25"/>
        <v>0</v>
      </c>
      <c r="R120" s="129">
        <f t="shared" si="25"/>
        <v>0</v>
      </c>
      <c r="S120" s="129">
        <f t="shared" si="25"/>
        <v>0</v>
      </c>
      <c r="T120" s="129">
        <f t="shared" si="25"/>
        <v>0</v>
      </c>
      <c r="U120" s="129">
        <f t="shared" si="25"/>
        <v>117.12</v>
      </c>
      <c r="V120" s="129">
        <f t="shared" si="25"/>
        <v>0</v>
      </c>
      <c r="W120" s="127"/>
      <c r="X120" s="129"/>
      <c r="Y120" s="129"/>
      <c r="Z120" s="129"/>
      <c r="AA120" s="131"/>
    </row>
    <row r="121" s="103" customFormat="1" ht="127" customHeight="1" spans="1:27">
      <c r="A121" s="116">
        <v>106</v>
      </c>
      <c r="B121" s="116" t="s">
        <v>666</v>
      </c>
      <c r="C121" s="116" t="s">
        <v>667</v>
      </c>
      <c r="D121" s="116" t="s">
        <v>218</v>
      </c>
      <c r="E121" s="116" t="s">
        <v>668</v>
      </c>
      <c r="F121" s="119" t="s">
        <v>38</v>
      </c>
      <c r="G121" s="116" t="s">
        <v>277</v>
      </c>
      <c r="H121" s="117" t="s">
        <v>669</v>
      </c>
      <c r="I121" s="119" t="s">
        <v>541</v>
      </c>
      <c r="J121" s="119">
        <v>1579</v>
      </c>
      <c r="K121" s="118">
        <f t="shared" ref="K121:K127" si="26">SUM(L121,T121:V121)</f>
        <v>1894.8</v>
      </c>
      <c r="L121" s="118">
        <f t="shared" ref="L121:L127" si="27">SUM(M121:S121)</f>
        <v>1894.8</v>
      </c>
      <c r="M121" s="118"/>
      <c r="N121" s="123">
        <v>1894.8</v>
      </c>
      <c r="O121" s="123"/>
      <c r="P121" s="123"/>
      <c r="Q121" s="119"/>
      <c r="R121" s="119"/>
      <c r="S121" s="119"/>
      <c r="T121" s="119"/>
      <c r="U121" s="119"/>
      <c r="V121" s="119"/>
      <c r="W121" s="119">
        <v>1579</v>
      </c>
      <c r="X121" s="119" t="s">
        <v>256</v>
      </c>
      <c r="Y121" s="119" t="s">
        <v>257</v>
      </c>
      <c r="Z121" s="116"/>
      <c r="AA121" s="119" t="s">
        <v>327</v>
      </c>
    </row>
    <row r="122" s="103" customFormat="1" ht="100" customHeight="1" spans="1:27">
      <c r="A122" s="116">
        <v>107</v>
      </c>
      <c r="B122" s="116" t="s">
        <v>195</v>
      </c>
      <c r="C122" s="116" t="s">
        <v>217</v>
      </c>
      <c r="D122" s="116" t="s">
        <v>218</v>
      </c>
      <c r="E122" s="116" t="s">
        <v>219</v>
      </c>
      <c r="F122" s="119" t="s">
        <v>38</v>
      </c>
      <c r="G122" s="116" t="s">
        <v>277</v>
      </c>
      <c r="H122" s="117" t="s">
        <v>670</v>
      </c>
      <c r="I122" s="116" t="s">
        <v>222</v>
      </c>
      <c r="J122" s="119">
        <v>1216</v>
      </c>
      <c r="K122" s="118">
        <f t="shared" si="26"/>
        <v>1276.8</v>
      </c>
      <c r="L122" s="118">
        <f t="shared" si="27"/>
        <v>1276.8</v>
      </c>
      <c r="M122" s="118"/>
      <c r="N122" s="123">
        <v>1276.8</v>
      </c>
      <c r="O122" s="123"/>
      <c r="P122" s="123"/>
      <c r="Q122" s="119"/>
      <c r="R122" s="119"/>
      <c r="S122" s="119"/>
      <c r="T122" s="119"/>
      <c r="U122" s="119"/>
      <c r="V122" s="119"/>
      <c r="W122" s="119">
        <v>1216</v>
      </c>
      <c r="X122" s="119" t="s">
        <v>223</v>
      </c>
      <c r="Y122" s="116" t="s">
        <v>224</v>
      </c>
      <c r="Z122" s="116"/>
      <c r="AA122" s="119" t="s">
        <v>327</v>
      </c>
    </row>
    <row r="123" s="100" customFormat="1" ht="161" customHeight="1" spans="1:27">
      <c r="A123" s="116">
        <v>108</v>
      </c>
      <c r="B123" s="116" t="s">
        <v>671</v>
      </c>
      <c r="C123" s="116" t="s">
        <v>672</v>
      </c>
      <c r="D123" s="116" t="s">
        <v>218</v>
      </c>
      <c r="E123" s="116" t="s">
        <v>227</v>
      </c>
      <c r="F123" s="116" t="s">
        <v>38</v>
      </c>
      <c r="G123" s="116" t="s">
        <v>277</v>
      </c>
      <c r="H123" s="117" t="s">
        <v>673</v>
      </c>
      <c r="I123" s="116" t="s">
        <v>222</v>
      </c>
      <c r="J123" s="116">
        <v>2187</v>
      </c>
      <c r="K123" s="118">
        <f t="shared" si="26"/>
        <v>437.4</v>
      </c>
      <c r="L123" s="118">
        <f t="shared" si="27"/>
        <v>437.4</v>
      </c>
      <c r="M123" s="118">
        <v>437.4</v>
      </c>
      <c r="N123" s="118"/>
      <c r="O123" s="118"/>
      <c r="P123" s="118"/>
      <c r="Q123" s="116"/>
      <c r="R123" s="116"/>
      <c r="S123" s="116"/>
      <c r="T123" s="116"/>
      <c r="U123" s="116"/>
      <c r="V123" s="116"/>
      <c r="W123" s="116">
        <v>2187</v>
      </c>
      <c r="X123" s="116" t="s">
        <v>223</v>
      </c>
      <c r="Y123" s="116" t="s">
        <v>224</v>
      </c>
      <c r="Z123" s="116"/>
      <c r="AA123" s="119" t="s">
        <v>327</v>
      </c>
    </row>
    <row r="124" s="100" customFormat="1" ht="161" customHeight="1" spans="1:27">
      <c r="A124" s="116">
        <v>109</v>
      </c>
      <c r="B124" s="116" t="s">
        <v>674</v>
      </c>
      <c r="C124" s="116" t="s">
        <v>226</v>
      </c>
      <c r="D124" s="116" t="s">
        <v>218</v>
      </c>
      <c r="E124" s="116" t="s">
        <v>227</v>
      </c>
      <c r="F124" s="116" t="s">
        <v>38</v>
      </c>
      <c r="G124" s="116" t="s">
        <v>277</v>
      </c>
      <c r="H124" s="117" t="s">
        <v>675</v>
      </c>
      <c r="I124" s="116" t="s">
        <v>222</v>
      </c>
      <c r="J124" s="116">
        <v>14276</v>
      </c>
      <c r="K124" s="118">
        <f t="shared" si="26"/>
        <v>1427.6</v>
      </c>
      <c r="L124" s="118">
        <f t="shared" si="27"/>
        <v>1427.6</v>
      </c>
      <c r="M124" s="118"/>
      <c r="N124" s="118">
        <v>1427.6</v>
      </c>
      <c r="O124" s="118"/>
      <c r="P124" s="118"/>
      <c r="Q124" s="116"/>
      <c r="R124" s="116"/>
      <c r="S124" s="116"/>
      <c r="T124" s="116"/>
      <c r="U124" s="116"/>
      <c r="V124" s="116"/>
      <c r="W124" s="116">
        <v>14276</v>
      </c>
      <c r="X124" s="116" t="s">
        <v>223</v>
      </c>
      <c r="Y124" s="116" t="s">
        <v>224</v>
      </c>
      <c r="Z124" s="116"/>
      <c r="AA124" s="119" t="s">
        <v>327</v>
      </c>
    </row>
    <row r="125" s="100" customFormat="1" ht="161" customHeight="1" spans="1:27">
      <c r="A125" s="116">
        <v>110</v>
      </c>
      <c r="B125" s="116" t="s">
        <v>676</v>
      </c>
      <c r="C125" s="116" t="s">
        <v>230</v>
      </c>
      <c r="D125" s="116" t="s">
        <v>218</v>
      </c>
      <c r="E125" s="116" t="s">
        <v>227</v>
      </c>
      <c r="F125" s="116" t="s">
        <v>38</v>
      </c>
      <c r="G125" s="116" t="s">
        <v>277</v>
      </c>
      <c r="H125" s="117" t="s">
        <v>231</v>
      </c>
      <c r="I125" s="116" t="s">
        <v>222</v>
      </c>
      <c r="J125" s="116">
        <v>5856</v>
      </c>
      <c r="K125" s="118">
        <f t="shared" si="26"/>
        <v>117.12</v>
      </c>
      <c r="L125" s="118">
        <f t="shared" si="27"/>
        <v>0</v>
      </c>
      <c r="M125" s="118"/>
      <c r="N125" s="118"/>
      <c r="O125" s="118"/>
      <c r="P125" s="118"/>
      <c r="Q125" s="116"/>
      <c r="R125" s="116"/>
      <c r="S125" s="116"/>
      <c r="T125" s="116"/>
      <c r="U125" s="118">
        <v>117.12</v>
      </c>
      <c r="V125" s="116"/>
      <c r="W125" s="116">
        <v>5856</v>
      </c>
      <c r="X125" s="116" t="s">
        <v>223</v>
      </c>
      <c r="Y125" s="116" t="s">
        <v>224</v>
      </c>
      <c r="Z125" s="116"/>
      <c r="AA125" s="119" t="s">
        <v>327</v>
      </c>
    </row>
    <row r="126" s="100" customFormat="1" ht="161" customHeight="1" spans="1:27">
      <c r="A126" s="116">
        <v>111</v>
      </c>
      <c r="B126" s="116" t="s">
        <v>677</v>
      </c>
      <c r="C126" s="116" t="s">
        <v>678</v>
      </c>
      <c r="D126" s="116" t="s">
        <v>218</v>
      </c>
      <c r="E126" s="116" t="s">
        <v>679</v>
      </c>
      <c r="F126" s="116" t="s">
        <v>38</v>
      </c>
      <c r="G126" s="116" t="s">
        <v>277</v>
      </c>
      <c r="H126" s="117" t="s">
        <v>680</v>
      </c>
      <c r="I126" s="116" t="s">
        <v>432</v>
      </c>
      <c r="J126" s="116">
        <v>901</v>
      </c>
      <c r="K126" s="118">
        <f t="shared" si="26"/>
        <v>180.2</v>
      </c>
      <c r="L126" s="118">
        <f t="shared" si="27"/>
        <v>180.2</v>
      </c>
      <c r="M126" s="118"/>
      <c r="N126" s="118">
        <v>180.2</v>
      </c>
      <c r="O126" s="118"/>
      <c r="P126" s="118"/>
      <c r="Q126" s="116"/>
      <c r="R126" s="116"/>
      <c r="S126" s="116"/>
      <c r="T126" s="116"/>
      <c r="U126" s="116"/>
      <c r="V126" s="116"/>
      <c r="W126" s="116">
        <v>3604</v>
      </c>
      <c r="X126" s="116" t="s">
        <v>223</v>
      </c>
      <c r="Y126" s="116" t="s">
        <v>224</v>
      </c>
      <c r="Z126" s="116"/>
      <c r="AA126" s="119" t="s">
        <v>327</v>
      </c>
    </row>
    <row r="127" s="100" customFormat="1" ht="161" customHeight="1" spans="1:27">
      <c r="A127" s="116">
        <v>112</v>
      </c>
      <c r="B127" s="116" t="s">
        <v>681</v>
      </c>
      <c r="C127" s="116" t="s">
        <v>682</v>
      </c>
      <c r="D127" s="116" t="s">
        <v>218</v>
      </c>
      <c r="E127" s="116" t="s">
        <v>679</v>
      </c>
      <c r="F127" s="116" t="s">
        <v>38</v>
      </c>
      <c r="G127" s="116" t="s">
        <v>277</v>
      </c>
      <c r="H127" s="117" t="s">
        <v>683</v>
      </c>
      <c r="I127" s="116" t="s">
        <v>432</v>
      </c>
      <c r="J127" s="116">
        <v>542</v>
      </c>
      <c r="K127" s="118">
        <f t="shared" si="26"/>
        <v>54.2</v>
      </c>
      <c r="L127" s="118">
        <f t="shared" si="27"/>
        <v>54.2</v>
      </c>
      <c r="M127" s="118"/>
      <c r="N127" s="118">
        <v>54.2</v>
      </c>
      <c r="O127" s="118"/>
      <c r="P127" s="118"/>
      <c r="Q127" s="116"/>
      <c r="R127" s="116"/>
      <c r="S127" s="116"/>
      <c r="T127" s="116"/>
      <c r="U127" s="116"/>
      <c r="V127" s="116"/>
      <c r="W127" s="116">
        <v>2168</v>
      </c>
      <c r="X127" s="116" t="s">
        <v>223</v>
      </c>
      <c r="Y127" s="116" t="s">
        <v>224</v>
      </c>
      <c r="Z127" s="116"/>
      <c r="AA127" s="119" t="s">
        <v>327</v>
      </c>
    </row>
    <row r="128" s="101" customFormat="1" ht="43" customHeight="1" spans="1:27">
      <c r="A128" s="127" t="s">
        <v>232</v>
      </c>
      <c r="B128" s="127" t="s">
        <v>233</v>
      </c>
      <c r="C128" s="127"/>
      <c r="D128" s="126"/>
      <c r="E128" s="127"/>
      <c r="F128" s="127"/>
      <c r="G128" s="127"/>
      <c r="H128" s="127">
        <f>SUBTOTAL(9,H129,H132,H141,H144)</f>
        <v>27</v>
      </c>
      <c r="I128" s="128"/>
      <c r="J128" s="128">
        <f>K128/K7</f>
        <v>0.112170802577978</v>
      </c>
      <c r="K128" s="129">
        <f t="shared" ref="K128:V128" si="28">SUM(K129,K132,K141,K144)</f>
        <v>14856.61</v>
      </c>
      <c r="L128" s="129">
        <f t="shared" si="28"/>
        <v>12856.61</v>
      </c>
      <c r="M128" s="129">
        <f t="shared" si="28"/>
        <v>1380</v>
      </c>
      <c r="N128" s="129">
        <f t="shared" si="28"/>
        <v>5133.61</v>
      </c>
      <c r="O128" s="129">
        <f t="shared" si="28"/>
        <v>5481</v>
      </c>
      <c r="P128" s="129">
        <f t="shared" si="28"/>
        <v>862</v>
      </c>
      <c r="Q128" s="129">
        <f t="shared" si="28"/>
        <v>0</v>
      </c>
      <c r="R128" s="129">
        <f t="shared" si="28"/>
        <v>0</v>
      </c>
      <c r="S128" s="129">
        <f t="shared" si="28"/>
        <v>0</v>
      </c>
      <c r="T128" s="129">
        <f t="shared" si="28"/>
        <v>2000</v>
      </c>
      <c r="U128" s="129">
        <f t="shared" si="28"/>
        <v>0</v>
      </c>
      <c r="V128" s="129">
        <f t="shared" si="28"/>
        <v>0</v>
      </c>
      <c r="W128" s="127"/>
      <c r="X128" s="129"/>
      <c r="Y128" s="129"/>
      <c r="Z128" s="129"/>
      <c r="AA128" s="131"/>
    </row>
    <row r="129" s="101" customFormat="1" ht="43" customHeight="1" spans="1:27">
      <c r="A129" s="125" t="s">
        <v>684</v>
      </c>
      <c r="B129" s="125"/>
      <c r="C129" s="125"/>
      <c r="D129" s="126"/>
      <c r="E129" s="127"/>
      <c r="F129" s="127"/>
      <c r="G129" s="127"/>
      <c r="H129" s="127">
        <v>2</v>
      </c>
      <c r="I129" s="128"/>
      <c r="J129" s="128"/>
      <c r="K129" s="129">
        <f t="shared" ref="K129:T129" si="29">SUM(K130:K131)</f>
        <v>4870</v>
      </c>
      <c r="L129" s="129">
        <f t="shared" si="29"/>
        <v>2870</v>
      </c>
      <c r="M129" s="129">
        <f t="shared" si="29"/>
        <v>0</v>
      </c>
      <c r="N129" s="129">
        <f t="shared" si="29"/>
        <v>2870</v>
      </c>
      <c r="O129" s="129">
        <f t="shared" si="29"/>
        <v>0</v>
      </c>
      <c r="P129" s="129">
        <f t="shared" si="29"/>
        <v>0</v>
      </c>
      <c r="Q129" s="129">
        <f t="shared" si="29"/>
        <v>0</v>
      </c>
      <c r="R129" s="129">
        <f t="shared" si="29"/>
        <v>0</v>
      </c>
      <c r="S129" s="129">
        <f t="shared" si="29"/>
        <v>0</v>
      </c>
      <c r="T129" s="129">
        <f t="shared" si="29"/>
        <v>2000</v>
      </c>
      <c r="U129" s="129">
        <f>SUM(U130:U139)</f>
        <v>0</v>
      </c>
      <c r="V129" s="129">
        <f>SUM(V130:V139)</f>
        <v>0</v>
      </c>
      <c r="W129" s="127"/>
      <c r="X129" s="130"/>
      <c r="Y129" s="130"/>
      <c r="Z129" s="130"/>
      <c r="AA129" s="131"/>
    </row>
    <row r="130" s="100" customFormat="1" ht="173" customHeight="1" spans="1:27">
      <c r="A130" s="116">
        <v>113</v>
      </c>
      <c r="B130" s="116" t="s">
        <v>216</v>
      </c>
      <c r="C130" s="116" t="s">
        <v>685</v>
      </c>
      <c r="D130" s="116" t="s">
        <v>233</v>
      </c>
      <c r="E130" s="116" t="s">
        <v>686</v>
      </c>
      <c r="F130" s="116" t="s">
        <v>38</v>
      </c>
      <c r="G130" s="116" t="s">
        <v>687</v>
      </c>
      <c r="H130" s="117" t="s">
        <v>688</v>
      </c>
      <c r="I130" s="116" t="s">
        <v>41</v>
      </c>
      <c r="J130" s="116">
        <v>320</v>
      </c>
      <c r="K130" s="118">
        <f>SUM(L130,T130:V130)</f>
        <v>2000</v>
      </c>
      <c r="L130" s="118">
        <f>SUM(M130:S130)</f>
        <v>1000</v>
      </c>
      <c r="M130" s="118"/>
      <c r="N130" s="118">
        <v>1000</v>
      </c>
      <c r="O130" s="118"/>
      <c r="P130" s="118"/>
      <c r="Q130" s="116"/>
      <c r="R130" s="116"/>
      <c r="S130" s="116"/>
      <c r="T130" s="116">
        <v>1000</v>
      </c>
      <c r="U130" s="116"/>
      <c r="V130" s="116"/>
      <c r="W130" s="116">
        <v>1500</v>
      </c>
      <c r="X130" s="116" t="s">
        <v>689</v>
      </c>
      <c r="Y130" s="121" t="s">
        <v>690</v>
      </c>
      <c r="Z130" s="116"/>
      <c r="AA130" s="119" t="s">
        <v>327</v>
      </c>
    </row>
    <row r="131" s="100" customFormat="1" ht="180" customHeight="1" spans="1:27">
      <c r="A131" s="116">
        <v>114</v>
      </c>
      <c r="B131" s="116" t="s">
        <v>691</v>
      </c>
      <c r="C131" s="116" t="s">
        <v>692</v>
      </c>
      <c r="D131" s="116" t="s">
        <v>233</v>
      </c>
      <c r="E131" s="116" t="s">
        <v>693</v>
      </c>
      <c r="F131" s="116" t="s">
        <v>38</v>
      </c>
      <c r="G131" s="116" t="s">
        <v>171</v>
      </c>
      <c r="H131" s="117" t="s">
        <v>694</v>
      </c>
      <c r="I131" s="116" t="s">
        <v>41</v>
      </c>
      <c r="J131" s="116">
        <v>170</v>
      </c>
      <c r="K131" s="118">
        <f t="shared" ref="K131:K139" si="30">SUM(L131,T131:V131)</f>
        <v>2870</v>
      </c>
      <c r="L131" s="118">
        <f t="shared" ref="L131:L140" si="31">SUM(M131:S131)</f>
        <v>1870</v>
      </c>
      <c r="M131" s="118"/>
      <c r="N131" s="118">
        <v>1870</v>
      </c>
      <c r="O131" s="118"/>
      <c r="P131" s="118"/>
      <c r="Q131" s="116"/>
      <c r="R131" s="116"/>
      <c r="S131" s="116"/>
      <c r="T131" s="116">
        <v>1000</v>
      </c>
      <c r="U131" s="116"/>
      <c r="V131" s="116"/>
      <c r="W131" s="116">
        <v>2000</v>
      </c>
      <c r="X131" s="116" t="s">
        <v>689</v>
      </c>
      <c r="Y131" s="121" t="s">
        <v>690</v>
      </c>
      <c r="Z131" s="116"/>
      <c r="AA131" s="119" t="s">
        <v>327</v>
      </c>
    </row>
    <row r="132" s="101" customFormat="1" ht="43" customHeight="1" spans="1:27">
      <c r="A132" s="125" t="s">
        <v>695</v>
      </c>
      <c r="B132" s="125"/>
      <c r="C132" s="125"/>
      <c r="D132" s="126"/>
      <c r="E132" s="127"/>
      <c r="F132" s="127"/>
      <c r="G132" s="127"/>
      <c r="H132" s="127">
        <v>7</v>
      </c>
      <c r="I132" s="128"/>
      <c r="J132" s="128"/>
      <c r="K132" s="129">
        <f t="shared" ref="K132:V132" si="32">SUM(K133:K140)</f>
        <v>2522</v>
      </c>
      <c r="L132" s="129">
        <f t="shared" si="32"/>
        <v>2522</v>
      </c>
      <c r="M132" s="129">
        <f t="shared" si="32"/>
        <v>1380</v>
      </c>
      <c r="N132" s="129">
        <f t="shared" si="32"/>
        <v>280</v>
      </c>
      <c r="O132" s="129">
        <f t="shared" si="32"/>
        <v>0</v>
      </c>
      <c r="P132" s="129">
        <f t="shared" si="32"/>
        <v>862</v>
      </c>
      <c r="Q132" s="129">
        <f t="shared" si="32"/>
        <v>0</v>
      </c>
      <c r="R132" s="129">
        <f t="shared" si="32"/>
        <v>0</v>
      </c>
      <c r="S132" s="129">
        <f t="shared" si="32"/>
        <v>0</v>
      </c>
      <c r="T132" s="129">
        <f t="shared" si="32"/>
        <v>0</v>
      </c>
      <c r="U132" s="129">
        <f t="shared" si="32"/>
        <v>0</v>
      </c>
      <c r="V132" s="129">
        <f t="shared" si="32"/>
        <v>0</v>
      </c>
      <c r="W132" s="127"/>
      <c r="X132" s="130"/>
      <c r="Y132" s="130"/>
      <c r="Z132" s="130"/>
      <c r="AA132" s="131"/>
    </row>
    <row r="133" s="100" customFormat="1" ht="77" customHeight="1" spans="1:27">
      <c r="A133" s="116">
        <v>115</v>
      </c>
      <c r="B133" s="116" t="s">
        <v>225</v>
      </c>
      <c r="C133" s="116" t="s">
        <v>696</v>
      </c>
      <c r="D133" s="116" t="s">
        <v>233</v>
      </c>
      <c r="E133" s="116" t="s">
        <v>247</v>
      </c>
      <c r="F133" s="116" t="s">
        <v>38</v>
      </c>
      <c r="G133" s="116" t="s">
        <v>697</v>
      </c>
      <c r="H133" s="122" t="s">
        <v>698</v>
      </c>
      <c r="I133" s="116" t="s">
        <v>150</v>
      </c>
      <c r="J133" s="116">
        <v>5000</v>
      </c>
      <c r="K133" s="118">
        <f t="shared" si="30"/>
        <v>80</v>
      </c>
      <c r="L133" s="118">
        <f t="shared" si="31"/>
        <v>80</v>
      </c>
      <c r="M133" s="118"/>
      <c r="N133" s="118">
        <v>80</v>
      </c>
      <c r="O133" s="118"/>
      <c r="P133" s="118"/>
      <c r="Q133" s="116"/>
      <c r="R133" s="116"/>
      <c r="S133" s="116"/>
      <c r="T133" s="116"/>
      <c r="U133" s="116"/>
      <c r="V133" s="116"/>
      <c r="W133" s="116">
        <v>20</v>
      </c>
      <c r="X133" s="116" t="s">
        <v>256</v>
      </c>
      <c r="Y133" s="116" t="s">
        <v>257</v>
      </c>
      <c r="Z133" s="116"/>
      <c r="AA133" s="119" t="s">
        <v>327</v>
      </c>
    </row>
    <row r="134" s="100" customFormat="1" ht="77" customHeight="1" spans="1:27">
      <c r="A134" s="116">
        <v>116</v>
      </c>
      <c r="B134" s="116" t="s">
        <v>699</v>
      </c>
      <c r="C134" s="116" t="s">
        <v>700</v>
      </c>
      <c r="D134" s="116" t="s">
        <v>233</v>
      </c>
      <c r="E134" s="116" t="s">
        <v>247</v>
      </c>
      <c r="F134" s="116" t="s">
        <v>38</v>
      </c>
      <c r="G134" s="116" t="s">
        <v>701</v>
      </c>
      <c r="H134" s="122" t="s">
        <v>702</v>
      </c>
      <c r="I134" s="116" t="s">
        <v>150</v>
      </c>
      <c r="J134" s="116">
        <v>14000</v>
      </c>
      <c r="K134" s="118">
        <f t="shared" si="30"/>
        <v>240</v>
      </c>
      <c r="L134" s="118">
        <f t="shared" si="31"/>
        <v>240</v>
      </c>
      <c r="M134" s="118">
        <v>240</v>
      </c>
      <c r="N134" s="118"/>
      <c r="O134" s="118"/>
      <c r="P134" s="118"/>
      <c r="Q134" s="116"/>
      <c r="R134" s="116"/>
      <c r="S134" s="116"/>
      <c r="T134" s="116"/>
      <c r="U134" s="116"/>
      <c r="V134" s="116"/>
      <c r="W134" s="116">
        <v>500</v>
      </c>
      <c r="X134" s="116" t="s">
        <v>256</v>
      </c>
      <c r="Y134" s="116" t="s">
        <v>257</v>
      </c>
      <c r="Z134" s="116"/>
      <c r="AA134" s="119" t="s">
        <v>327</v>
      </c>
    </row>
    <row r="135" s="100" customFormat="1" ht="77" customHeight="1" spans="1:27">
      <c r="A135" s="116">
        <v>117</v>
      </c>
      <c r="B135" s="116" t="s">
        <v>703</v>
      </c>
      <c r="C135" s="116" t="s">
        <v>704</v>
      </c>
      <c r="D135" s="116" t="s">
        <v>233</v>
      </c>
      <c r="E135" s="116" t="s">
        <v>247</v>
      </c>
      <c r="F135" s="116" t="s">
        <v>38</v>
      </c>
      <c r="G135" s="116" t="s">
        <v>705</v>
      </c>
      <c r="H135" s="122" t="s">
        <v>706</v>
      </c>
      <c r="I135" s="116" t="s">
        <v>160</v>
      </c>
      <c r="J135" s="116">
        <v>5.5</v>
      </c>
      <c r="K135" s="118">
        <f t="shared" si="30"/>
        <v>395</v>
      </c>
      <c r="L135" s="118">
        <f t="shared" si="31"/>
        <v>395</v>
      </c>
      <c r="M135" s="118"/>
      <c r="N135" s="118"/>
      <c r="O135" s="118"/>
      <c r="P135" s="118">
        <v>395</v>
      </c>
      <c r="Q135" s="116"/>
      <c r="R135" s="116"/>
      <c r="S135" s="116"/>
      <c r="T135" s="116"/>
      <c r="U135" s="116"/>
      <c r="V135" s="116"/>
      <c r="W135" s="116">
        <v>2000</v>
      </c>
      <c r="X135" s="116" t="s">
        <v>256</v>
      </c>
      <c r="Y135" s="116" t="s">
        <v>257</v>
      </c>
      <c r="Z135" s="116"/>
      <c r="AA135" s="119" t="s">
        <v>327</v>
      </c>
    </row>
    <row r="136" s="100" customFormat="1" ht="77" customHeight="1" spans="1:27">
      <c r="A136" s="116"/>
      <c r="B136" s="116" t="s">
        <v>265</v>
      </c>
      <c r="C136" s="116" t="s">
        <v>707</v>
      </c>
      <c r="D136" s="116" t="s">
        <v>233</v>
      </c>
      <c r="E136" s="116" t="s">
        <v>247</v>
      </c>
      <c r="F136" s="116" t="s">
        <v>38</v>
      </c>
      <c r="G136" s="116" t="s">
        <v>708</v>
      </c>
      <c r="H136" s="122" t="s">
        <v>709</v>
      </c>
      <c r="I136" s="116" t="s">
        <v>160</v>
      </c>
      <c r="J136" s="116">
        <v>5.3</v>
      </c>
      <c r="K136" s="118">
        <f t="shared" si="30"/>
        <v>360</v>
      </c>
      <c r="L136" s="118">
        <f t="shared" si="31"/>
        <v>360</v>
      </c>
      <c r="M136" s="118">
        <v>360</v>
      </c>
      <c r="N136" s="118"/>
      <c r="O136" s="118"/>
      <c r="P136" s="118"/>
      <c r="Q136" s="116"/>
      <c r="R136" s="116"/>
      <c r="S136" s="116"/>
      <c r="T136" s="116"/>
      <c r="U136" s="116"/>
      <c r="V136" s="116"/>
      <c r="W136" s="116">
        <v>5000</v>
      </c>
      <c r="X136" s="116" t="s">
        <v>256</v>
      </c>
      <c r="Y136" s="116" t="s">
        <v>257</v>
      </c>
      <c r="Z136" s="116"/>
      <c r="AA136" s="119" t="s">
        <v>327</v>
      </c>
    </row>
    <row r="137" s="100" customFormat="1" ht="94" customHeight="1" spans="1:27">
      <c r="A137" s="116">
        <v>118</v>
      </c>
      <c r="B137" s="116" t="s">
        <v>710</v>
      </c>
      <c r="C137" s="116" t="s">
        <v>711</v>
      </c>
      <c r="D137" s="116" t="s">
        <v>233</v>
      </c>
      <c r="E137" s="116" t="s">
        <v>247</v>
      </c>
      <c r="F137" s="116" t="s">
        <v>38</v>
      </c>
      <c r="G137" s="116" t="s">
        <v>42</v>
      </c>
      <c r="H137" s="122" t="s">
        <v>712</v>
      </c>
      <c r="I137" s="116" t="s">
        <v>165</v>
      </c>
      <c r="J137" s="116">
        <v>3</v>
      </c>
      <c r="K137" s="118">
        <f t="shared" si="30"/>
        <v>80</v>
      </c>
      <c r="L137" s="118">
        <f t="shared" si="31"/>
        <v>80</v>
      </c>
      <c r="M137" s="118"/>
      <c r="N137" s="118"/>
      <c r="O137" s="118"/>
      <c r="P137" s="118">
        <v>80</v>
      </c>
      <c r="Q137" s="116"/>
      <c r="R137" s="116"/>
      <c r="S137" s="116"/>
      <c r="T137" s="116"/>
      <c r="U137" s="116"/>
      <c r="V137" s="116"/>
      <c r="W137" s="116">
        <v>300</v>
      </c>
      <c r="X137" s="116" t="s">
        <v>256</v>
      </c>
      <c r="Y137" s="116" t="s">
        <v>257</v>
      </c>
      <c r="Z137" s="116"/>
      <c r="AA137" s="119" t="s">
        <v>327</v>
      </c>
    </row>
    <row r="138" s="100" customFormat="1" ht="94" customHeight="1" spans="1:27">
      <c r="A138" s="116">
        <v>119</v>
      </c>
      <c r="B138" s="116" t="s">
        <v>713</v>
      </c>
      <c r="C138" s="116" t="s">
        <v>714</v>
      </c>
      <c r="D138" s="116" t="s">
        <v>233</v>
      </c>
      <c r="E138" s="116" t="s">
        <v>247</v>
      </c>
      <c r="F138" s="116" t="s">
        <v>38</v>
      </c>
      <c r="G138" s="116" t="s">
        <v>715</v>
      </c>
      <c r="H138" s="122" t="s">
        <v>716</v>
      </c>
      <c r="I138" s="116" t="s">
        <v>165</v>
      </c>
      <c r="J138" s="116">
        <v>2</v>
      </c>
      <c r="K138" s="118">
        <f t="shared" si="30"/>
        <v>387</v>
      </c>
      <c r="L138" s="118">
        <f t="shared" si="31"/>
        <v>387</v>
      </c>
      <c r="M138" s="118"/>
      <c r="N138" s="118"/>
      <c r="O138" s="118"/>
      <c r="P138" s="118">
        <v>387</v>
      </c>
      <c r="Q138" s="116"/>
      <c r="R138" s="116"/>
      <c r="S138" s="116"/>
      <c r="T138" s="116"/>
      <c r="U138" s="116"/>
      <c r="V138" s="116"/>
      <c r="W138" s="116">
        <v>1500</v>
      </c>
      <c r="X138" s="116" t="s">
        <v>623</v>
      </c>
      <c r="Y138" s="116" t="s">
        <v>624</v>
      </c>
      <c r="Z138" s="116"/>
      <c r="AA138" s="119" t="s">
        <v>327</v>
      </c>
    </row>
    <row r="139" s="100" customFormat="1" ht="150" customHeight="1" spans="1:27">
      <c r="A139" s="116">
        <v>120</v>
      </c>
      <c r="B139" s="116" t="s">
        <v>717</v>
      </c>
      <c r="C139" s="116" t="s">
        <v>718</v>
      </c>
      <c r="D139" s="116" t="s">
        <v>233</v>
      </c>
      <c r="E139" s="116" t="s">
        <v>686</v>
      </c>
      <c r="F139" s="116" t="s">
        <v>38</v>
      </c>
      <c r="G139" s="116" t="s">
        <v>719</v>
      </c>
      <c r="H139" s="122" t="s">
        <v>720</v>
      </c>
      <c r="I139" s="116" t="s">
        <v>160</v>
      </c>
      <c r="J139" s="116">
        <v>8</v>
      </c>
      <c r="K139" s="118">
        <f t="shared" si="30"/>
        <v>780</v>
      </c>
      <c r="L139" s="118">
        <f t="shared" si="31"/>
        <v>780</v>
      </c>
      <c r="M139" s="118">
        <v>780</v>
      </c>
      <c r="N139" s="118"/>
      <c r="O139" s="118"/>
      <c r="P139" s="118"/>
      <c r="Q139" s="116"/>
      <c r="R139" s="116"/>
      <c r="S139" s="116"/>
      <c r="T139" s="116"/>
      <c r="U139" s="116"/>
      <c r="V139" s="116"/>
      <c r="W139" s="116">
        <v>750</v>
      </c>
      <c r="X139" s="116" t="s">
        <v>240</v>
      </c>
      <c r="Y139" s="116" t="s">
        <v>241</v>
      </c>
      <c r="Z139" s="116"/>
      <c r="AA139" s="119" t="s">
        <v>327</v>
      </c>
    </row>
    <row r="140" s="100" customFormat="1" ht="125" customHeight="1" spans="1:27">
      <c r="A140" s="116">
        <v>121</v>
      </c>
      <c r="B140" s="116" t="s">
        <v>721</v>
      </c>
      <c r="C140" s="116" t="s">
        <v>722</v>
      </c>
      <c r="D140" s="116" t="s">
        <v>233</v>
      </c>
      <c r="E140" s="116" t="s">
        <v>723</v>
      </c>
      <c r="F140" s="116" t="s">
        <v>38</v>
      </c>
      <c r="G140" s="116" t="s">
        <v>724</v>
      </c>
      <c r="H140" s="117" t="s">
        <v>725</v>
      </c>
      <c r="I140" s="116" t="s">
        <v>165</v>
      </c>
      <c r="J140" s="116">
        <v>18</v>
      </c>
      <c r="K140" s="118">
        <f t="shared" ref="K140:K143" si="33">SUM(L140,T140:V140)</f>
        <v>200</v>
      </c>
      <c r="L140" s="118">
        <f t="shared" si="31"/>
        <v>200</v>
      </c>
      <c r="M140" s="118"/>
      <c r="N140" s="118">
        <f>140+60</f>
        <v>200</v>
      </c>
      <c r="O140" s="118">
        <v>0</v>
      </c>
      <c r="P140" s="118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900</v>
      </c>
      <c r="X140" s="116" t="s">
        <v>726</v>
      </c>
      <c r="Y140" s="124" t="s">
        <v>727</v>
      </c>
      <c r="Z140" s="116"/>
      <c r="AA140" s="119" t="s">
        <v>327</v>
      </c>
    </row>
    <row r="141" s="101" customFormat="1" ht="43" customHeight="1" spans="1:27">
      <c r="A141" s="138" t="s">
        <v>728</v>
      </c>
      <c r="B141" s="139"/>
      <c r="C141" s="140"/>
      <c r="D141" s="126"/>
      <c r="E141" s="127"/>
      <c r="F141" s="127"/>
      <c r="G141" s="127"/>
      <c r="H141" s="127">
        <v>2</v>
      </c>
      <c r="I141" s="128"/>
      <c r="J141" s="128"/>
      <c r="K141" s="129">
        <f t="shared" ref="K141:V141" si="34">SUM(K142:K143)</f>
        <v>1983.61</v>
      </c>
      <c r="L141" s="129">
        <f t="shared" si="34"/>
        <v>1983.61</v>
      </c>
      <c r="M141" s="129">
        <f t="shared" si="34"/>
        <v>0</v>
      </c>
      <c r="N141" s="129">
        <f t="shared" si="34"/>
        <v>1983.61</v>
      </c>
      <c r="O141" s="129">
        <f t="shared" si="34"/>
        <v>0</v>
      </c>
      <c r="P141" s="129">
        <f t="shared" si="34"/>
        <v>0</v>
      </c>
      <c r="Q141" s="129">
        <f t="shared" si="34"/>
        <v>0</v>
      </c>
      <c r="R141" s="129">
        <f t="shared" si="34"/>
        <v>0</v>
      </c>
      <c r="S141" s="129">
        <f t="shared" si="34"/>
        <v>0</v>
      </c>
      <c r="T141" s="129">
        <f t="shared" si="34"/>
        <v>0</v>
      </c>
      <c r="U141" s="129">
        <f t="shared" si="34"/>
        <v>0</v>
      </c>
      <c r="V141" s="129">
        <f t="shared" si="34"/>
        <v>0</v>
      </c>
      <c r="W141" s="127"/>
      <c r="X141" s="130"/>
      <c r="Y141" s="130"/>
      <c r="Z141" s="130"/>
      <c r="AA141" s="131"/>
    </row>
    <row r="142" s="100" customFormat="1" ht="125" customHeight="1" spans="1:27">
      <c r="A142" s="116">
        <v>122</v>
      </c>
      <c r="B142" s="116" t="s">
        <v>729</v>
      </c>
      <c r="C142" s="116" t="s">
        <v>730</v>
      </c>
      <c r="D142" s="116" t="s">
        <v>233</v>
      </c>
      <c r="E142" s="116" t="s">
        <v>731</v>
      </c>
      <c r="F142" s="116" t="s">
        <v>732</v>
      </c>
      <c r="G142" s="116" t="s">
        <v>733</v>
      </c>
      <c r="H142" s="117" t="s">
        <v>734</v>
      </c>
      <c r="I142" s="116" t="s">
        <v>160</v>
      </c>
      <c r="J142" s="116">
        <v>21</v>
      </c>
      <c r="K142" s="118">
        <f t="shared" si="33"/>
        <v>514</v>
      </c>
      <c r="L142" s="118">
        <f t="shared" ref="L142:L160" si="35">SUM(M142:S142)</f>
        <v>514</v>
      </c>
      <c r="M142" s="118"/>
      <c r="N142" s="118">
        <v>514</v>
      </c>
      <c r="O142" s="118"/>
      <c r="P142" s="118"/>
      <c r="Q142" s="116"/>
      <c r="R142" s="116"/>
      <c r="S142" s="116"/>
      <c r="T142" s="116"/>
      <c r="U142" s="116"/>
      <c r="V142" s="116"/>
      <c r="W142" s="116">
        <v>1816</v>
      </c>
      <c r="X142" s="116" t="s">
        <v>623</v>
      </c>
      <c r="Y142" s="124" t="s">
        <v>624</v>
      </c>
      <c r="Z142" s="116"/>
      <c r="AA142" s="119" t="s">
        <v>327</v>
      </c>
    </row>
    <row r="143" s="100" customFormat="1" ht="125" customHeight="1" spans="1:27">
      <c r="A143" s="116">
        <v>123</v>
      </c>
      <c r="B143" s="116" t="s">
        <v>735</v>
      </c>
      <c r="C143" s="116" t="s">
        <v>736</v>
      </c>
      <c r="D143" s="116" t="s">
        <v>233</v>
      </c>
      <c r="E143" s="116" t="s">
        <v>731</v>
      </c>
      <c r="F143" s="116" t="s">
        <v>732</v>
      </c>
      <c r="G143" s="116" t="s">
        <v>42</v>
      </c>
      <c r="H143" s="117" t="s">
        <v>737</v>
      </c>
      <c r="I143" s="116" t="s">
        <v>160</v>
      </c>
      <c r="J143" s="116">
        <v>123</v>
      </c>
      <c r="K143" s="118">
        <f t="shared" si="33"/>
        <v>1469.61</v>
      </c>
      <c r="L143" s="118">
        <f t="shared" si="35"/>
        <v>1469.61</v>
      </c>
      <c r="M143" s="118"/>
      <c r="N143" s="118">
        <v>1469.61</v>
      </c>
      <c r="O143" s="118"/>
      <c r="P143" s="118"/>
      <c r="Q143" s="116"/>
      <c r="R143" s="116"/>
      <c r="S143" s="116"/>
      <c r="T143" s="116"/>
      <c r="U143" s="116"/>
      <c r="V143" s="116"/>
      <c r="W143" s="116">
        <v>11260</v>
      </c>
      <c r="X143" s="116" t="s">
        <v>623</v>
      </c>
      <c r="Y143" s="124" t="s">
        <v>624</v>
      </c>
      <c r="Z143" s="116"/>
      <c r="AA143" s="119" t="s">
        <v>327</v>
      </c>
    </row>
    <row r="144" s="101" customFormat="1" ht="43" customHeight="1" spans="1:27">
      <c r="A144" s="138" t="s">
        <v>738</v>
      </c>
      <c r="B144" s="139"/>
      <c r="C144" s="140"/>
      <c r="D144" s="126">
        <f t="shared" ref="D144:G144" si="36">SUM(D145:D160)</f>
        <v>0</v>
      </c>
      <c r="E144" s="127">
        <f t="shared" si="36"/>
        <v>0</v>
      </c>
      <c r="F144" s="127">
        <f t="shared" si="36"/>
        <v>0</v>
      </c>
      <c r="G144" s="127">
        <f t="shared" si="36"/>
        <v>0</v>
      </c>
      <c r="H144" s="127">
        <v>16</v>
      </c>
      <c r="I144" s="128">
        <f t="shared" ref="I144:V144" si="37">SUM(I145:I160)</f>
        <v>0</v>
      </c>
      <c r="J144" s="128"/>
      <c r="K144" s="129">
        <f t="shared" si="37"/>
        <v>5481</v>
      </c>
      <c r="L144" s="129">
        <f t="shared" si="37"/>
        <v>5481</v>
      </c>
      <c r="M144" s="129">
        <f t="shared" si="37"/>
        <v>0</v>
      </c>
      <c r="N144" s="129">
        <f t="shared" si="37"/>
        <v>0</v>
      </c>
      <c r="O144" s="129">
        <f t="shared" si="37"/>
        <v>5481</v>
      </c>
      <c r="P144" s="129">
        <f t="shared" si="37"/>
        <v>0</v>
      </c>
      <c r="Q144" s="129">
        <f t="shared" si="37"/>
        <v>0</v>
      </c>
      <c r="R144" s="129">
        <f t="shared" si="37"/>
        <v>0</v>
      </c>
      <c r="S144" s="129">
        <f t="shared" si="37"/>
        <v>0</v>
      </c>
      <c r="T144" s="129">
        <f t="shared" si="37"/>
        <v>0</v>
      </c>
      <c r="U144" s="129">
        <f t="shared" si="37"/>
        <v>0</v>
      </c>
      <c r="V144" s="129">
        <f t="shared" si="37"/>
        <v>0</v>
      </c>
      <c r="W144" s="127"/>
      <c r="X144" s="130"/>
      <c r="Y144" s="130"/>
      <c r="Z144" s="130"/>
      <c r="AA144" s="131"/>
    </row>
    <row r="145" s="100" customFormat="1" ht="107" customHeight="1" spans="1:27">
      <c r="A145" s="116">
        <v>124</v>
      </c>
      <c r="B145" s="116" t="s">
        <v>739</v>
      </c>
      <c r="C145" s="116" t="s">
        <v>740</v>
      </c>
      <c r="D145" s="116" t="s">
        <v>233</v>
      </c>
      <c r="E145" s="116" t="s">
        <v>731</v>
      </c>
      <c r="F145" s="116" t="s">
        <v>38</v>
      </c>
      <c r="G145" s="116" t="s">
        <v>741</v>
      </c>
      <c r="H145" s="122" t="s">
        <v>742</v>
      </c>
      <c r="I145" s="116" t="s">
        <v>160</v>
      </c>
      <c r="J145" s="116">
        <v>5.6</v>
      </c>
      <c r="K145" s="118">
        <f t="shared" ref="K145:K160" si="38">SUM(L145,T145:V145)</f>
        <v>390</v>
      </c>
      <c r="L145" s="118">
        <f t="shared" si="35"/>
        <v>390</v>
      </c>
      <c r="M145" s="118"/>
      <c r="N145" s="118"/>
      <c r="O145" s="118">
        <v>390</v>
      </c>
      <c r="P145" s="118"/>
      <c r="Q145" s="116"/>
      <c r="R145" s="116"/>
      <c r="S145" s="116"/>
      <c r="T145" s="116"/>
      <c r="U145" s="116"/>
      <c r="V145" s="116"/>
      <c r="W145" s="116">
        <v>35</v>
      </c>
      <c r="X145" s="116" t="s">
        <v>743</v>
      </c>
      <c r="Y145" s="124" t="s">
        <v>744</v>
      </c>
      <c r="Z145" s="116"/>
      <c r="AA145" s="119" t="s">
        <v>327</v>
      </c>
    </row>
    <row r="146" s="100" customFormat="1" ht="107" customHeight="1" spans="1:27">
      <c r="A146" s="116">
        <v>125</v>
      </c>
      <c r="B146" s="116" t="s">
        <v>745</v>
      </c>
      <c r="C146" s="116" t="s">
        <v>746</v>
      </c>
      <c r="D146" s="116" t="s">
        <v>233</v>
      </c>
      <c r="E146" s="116" t="s">
        <v>247</v>
      </c>
      <c r="F146" s="116" t="s">
        <v>38</v>
      </c>
      <c r="G146" s="116" t="s">
        <v>77</v>
      </c>
      <c r="H146" s="122" t="s">
        <v>747</v>
      </c>
      <c r="I146" s="116" t="s">
        <v>160</v>
      </c>
      <c r="J146" s="116">
        <v>13.5</v>
      </c>
      <c r="K146" s="118">
        <f t="shared" si="38"/>
        <v>390</v>
      </c>
      <c r="L146" s="118">
        <f t="shared" si="35"/>
        <v>390</v>
      </c>
      <c r="M146" s="118"/>
      <c r="N146" s="118"/>
      <c r="O146" s="118">
        <v>390</v>
      </c>
      <c r="P146" s="118"/>
      <c r="Q146" s="116"/>
      <c r="R146" s="116"/>
      <c r="S146" s="116"/>
      <c r="T146" s="116"/>
      <c r="U146" s="116"/>
      <c r="V146" s="116"/>
      <c r="W146" s="116">
        <v>35</v>
      </c>
      <c r="X146" s="116" t="s">
        <v>743</v>
      </c>
      <c r="Y146" s="124" t="s">
        <v>744</v>
      </c>
      <c r="Z146" s="116"/>
      <c r="AA146" s="119" t="s">
        <v>327</v>
      </c>
    </row>
    <row r="147" s="100" customFormat="1" ht="107" customHeight="1" spans="1:27">
      <c r="A147" s="116">
        <v>126</v>
      </c>
      <c r="B147" s="116" t="s">
        <v>748</v>
      </c>
      <c r="C147" s="116" t="s">
        <v>749</v>
      </c>
      <c r="D147" s="116" t="s">
        <v>233</v>
      </c>
      <c r="E147" s="116" t="s">
        <v>731</v>
      </c>
      <c r="F147" s="116" t="s">
        <v>38</v>
      </c>
      <c r="G147" s="116" t="s">
        <v>104</v>
      </c>
      <c r="H147" s="122" t="s">
        <v>750</v>
      </c>
      <c r="I147" s="116" t="s">
        <v>160</v>
      </c>
      <c r="J147" s="116">
        <v>5.4</v>
      </c>
      <c r="K147" s="118">
        <f t="shared" si="38"/>
        <v>375</v>
      </c>
      <c r="L147" s="118">
        <f t="shared" si="35"/>
        <v>375</v>
      </c>
      <c r="M147" s="118"/>
      <c r="N147" s="118"/>
      <c r="O147" s="118">
        <v>375</v>
      </c>
      <c r="P147" s="118"/>
      <c r="Q147" s="116"/>
      <c r="R147" s="116"/>
      <c r="S147" s="116"/>
      <c r="T147" s="116"/>
      <c r="U147" s="116"/>
      <c r="V147" s="116"/>
      <c r="W147" s="116">
        <v>35</v>
      </c>
      <c r="X147" s="116" t="s">
        <v>743</v>
      </c>
      <c r="Y147" s="124" t="s">
        <v>744</v>
      </c>
      <c r="Z147" s="116"/>
      <c r="AA147" s="119" t="s">
        <v>327</v>
      </c>
    </row>
    <row r="148" s="100" customFormat="1" ht="107" customHeight="1" spans="1:27">
      <c r="A148" s="116">
        <v>127</v>
      </c>
      <c r="B148" s="116" t="s">
        <v>751</v>
      </c>
      <c r="C148" s="116" t="s">
        <v>752</v>
      </c>
      <c r="D148" s="116" t="s">
        <v>233</v>
      </c>
      <c r="E148" s="116" t="s">
        <v>731</v>
      </c>
      <c r="F148" s="116" t="s">
        <v>38</v>
      </c>
      <c r="G148" s="116" t="s">
        <v>753</v>
      </c>
      <c r="H148" s="122" t="s">
        <v>754</v>
      </c>
      <c r="I148" s="116" t="s">
        <v>160</v>
      </c>
      <c r="J148" s="116">
        <v>2</v>
      </c>
      <c r="K148" s="118">
        <f t="shared" si="38"/>
        <v>400</v>
      </c>
      <c r="L148" s="118">
        <f t="shared" si="35"/>
        <v>400</v>
      </c>
      <c r="M148" s="118"/>
      <c r="N148" s="118"/>
      <c r="O148" s="118">
        <v>400</v>
      </c>
      <c r="P148" s="118"/>
      <c r="Q148" s="116"/>
      <c r="R148" s="116"/>
      <c r="S148" s="116"/>
      <c r="T148" s="116"/>
      <c r="U148" s="116"/>
      <c r="V148" s="116"/>
      <c r="W148" s="116">
        <v>35</v>
      </c>
      <c r="X148" s="116" t="s">
        <v>743</v>
      </c>
      <c r="Y148" s="124" t="s">
        <v>744</v>
      </c>
      <c r="Z148" s="116"/>
      <c r="AA148" s="119" t="s">
        <v>327</v>
      </c>
    </row>
    <row r="149" s="100" customFormat="1" ht="107" customHeight="1" spans="1:27">
      <c r="A149" s="116">
        <v>128</v>
      </c>
      <c r="B149" s="116" t="s">
        <v>755</v>
      </c>
      <c r="C149" s="116" t="s">
        <v>756</v>
      </c>
      <c r="D149" s="116" t="s">
        <v>233</v>
      </c>
      <c r="E149" s="116" t="s">
        <v>731</v>
      </c>
      <c r="F149" s="116" t="s">
        <v>38</v>
      </c>
      <c r="G149" s="116" t="s">
        <v>130</v>
      </c>
      <c r="H149" s="122" t="s">
        <v>757</v>
      </c>
      <c r="I149" s="116" t="s">
        <v>160</v>
      </c>
      <c r="J149" s="116">
        <v>5.62</v>
      </c>
      <c r="K149" s="118">
        <f t="shared" si="38"/>
        <v>390</v>
      </c>
      <c r="L149" s="118">
        <f t="shared" si="35"/>
        <v>390</v>
      </c>
      <c r="M149" s="118"/>
      <c r="N149" s="118"/>
      <c r="O149" s="118">
        <v>390</v>
      </c>
      <c r="P149" s="118"/>
      <c r="Q149" s="116"/>
      <c r="R149" s="116"/>
      <c r="S149" s="116"/>
      <c r="T149" s="116"/>
      <c r="U149" s="116"/>
      <c r="V149" s="116"/>
      <c r="W149" s="116">
        <v>40</v>
      </c>
      <c r="X149" s="116" t="s">
        <v>743</v>
      </c>
      <c r="Y149" s="124" t="s">
        <v>744</v>
      </c>
      <c r="Z149" s="116"/>
      <c r="AA149" s="119" t="s">
        <v>327</v>
      </c>
    </row>
    <row r="150" s="100" customFormat="1" ht="107" customHeight="1" spans="1:27">
      <c r="A150" s="116">
        <v>129</v>
      </c>
      <c r="B150" s="116" t="s">
        <v>758</v>
      </c>
      <c r="C150" s="116" t="s">
        <v>759</v>
      </c>
      <c r="D150" s="116" t="s">
        <v>233</v>
      </c>
      <c r="E150" s="116" t="s">
        <v>731</v>
      </c>
      <c r="F150" s="116" t="s">
        <v>38</v>
      </c>
      <c r="G150" s="116" t="s">
        <v>94</v>
      </c>
      <c r="H150" s="122" t="s">
        <v>760</v>
      </c>
      <c r="I150" s="116" t="s">
        <v>160</v>
      </c>
      <c r="J150" s="116">
        <v>5.5</v>
      </c>
      <c r="K150" s="118">
        <f t="shared" si="38"/>
        <v>395</v>
      </c>
      <c r="L150" s="118">
        <f t="shared" si="35"/>
        <v>395</v>
      </c>
      <c r="M150" s="118"/>
      <c r="N150" s="118"/>
      <c r="O150" s="118">
        <v>395</v>
      </c>
      <c r="P150" s="118"/>
      <c r="Q150" s="116"/>
      <c r="R150" s="116"/>
      <c r="S150" s="116"/>
      <c r="T150" s="116"/>
      <c r="U150" s="116"/>
      <c r="V150" s="116"/>
      <c r="W150" s="116">
        <v>35</v>
      </c>
      <c r="X150" s="116" t="s">
        <v>743</v>
      </c>
      <c r="Y150" s="124" t="s">
        <v>744</v>
      </c>
      <c r="Z150" s="116"/>
      <c r="AA150" s="119" t="s">
        <v>327</v>
      </c>
    </row>
    <row r="151" s="100" customFormat="1" ht="107" customHeight="1" spans="1:27">
      <c r="A151" s="116">
        <v>130</v>
      </c>
      <c r="B151" s="116" t="s">
        <v>761</v>
      </c>
      <c r="C151" s="116" t="s">
        <v>762</v>
      </c>
      <c r="D151" s="116" t="s">
        <v>233</v>
      </c>
      <c r="E151" s="116" t="s">
        <v>247</v>
      </c>
      <c r="F151" s="116" t="s">
        <v>38</v>
      </c>
      <c r="G151" s="116" t="s">
        <v>88</v>
      </c>
      <c r="H151" s="122" t="s">
        <v>763</v>
      </c>
      <c r="I151" s="116" t="s">
        <v>530</v>
      </c>
      <c r="J151" s="116">
        <v>2.4</v>
      </c>
      <c r="K151" s="118">
        <f t="shared" si="38"/>
        <v>400</v>
      </c>
      <c r="L151" s="118">
        <f t="shared" si="35"/>
        <v>400</v>
      </c>
      <c r="M151" s="118"/>
      <c r="N151" s="118"/>
      <c r="O151" s="118">
        <v>400</v>
      </c>
      <c r="P151" s="118"/>
      <c r="Q151" s="116"/>
      <c r="R151" s="116"/>
      <c r="S151" s="116"/>
      <c r="T151" s="116"/>
      <c r="U151" s="116"/>
      <c r="V151" s="116"/>
      <c r="W151" s="116">
        <v>40</v>
      </c>
      <c r="X151" s="116" t="s">
        <v>743</v>
      </c>
      <c r="Y151" s="124" t="s">
        <v>744</v>
      </c>
      <c r="Z151" s="116"/>
      <c r="AA151" s="119" t="s">
        <v>327</v>
      </c>
    </row>
    <row r="152" s="100" customFormat="1" ht="107" customHeight="1" spans="1:27">
      <c r="A152" s="116">
        <v>131</v>
      </c>
      <c r="B152" s="116" t="s">
        <v>764</v>
      </c>
      <c r="C152" s="116" t="s">
        <v>765</v>
      </c>
      <c r="D152" s="116" t="s">
        <v>233</v>
      </c>
      <c r="E152" s="116" t="s">
        <v>731</v>
      </c>
      <c r="F152" s="116" t="s">
        <v>38</v>
      </c>
      <c r="G152" s="116" t="s">
        <v>73</v>
      </c>
      <c r="H152" s="122" t="s">
        <v>766</v>
      </c>
      <c r="I152" s="116" t="s">
        <v>160</v>
      </c>
      <c r="J152" s="116">
        <v>0.6</v>
      </c>
      <c r="K152" s="118">
        <f t="shared" si="38"/>
        <v>400</v>
      </c>
      <c r="L152" s="118">
        <f t="shared" si="35"/>
        <v>400</v>
      </c>
      <c r="M152" s="118"/>
      <c r="N152" s="118"/>
      <c r="O152" s="118">
        <v>400</v>
      </c>
      <c r="P152" s="118"/>
      <c r="Q152" s="116"/>
      <c r="R152" s="116"/>
      <c r="S152" s="116"/>
      <c r="T152" s="116"/>
      <c r="U152" s="116"/>
      <c r="V152" s="116"/>
      <c r="W152" s="116">
        <v>45</v>
      </c>
      <c r="X152" s="116" t="s">
        <v>743</v>
      </c>
      <c r="Y152" s="124" t="s">
        <v>744</v>
      </c>
      <c r="Z152" s="116"/>
      <c r="AA152" s="119" t="s">
        <v>327</v>
      </c>
    </row>
    <row r="153" s="100" customFormat="1" ht="107" customHeight="1" spans="1:27">
      <c r="A153" s="116">
        <v>132</v>
      </c>
      <c r="B153" s="116" t="s">
        <v>767</v>
      </c>
      <c r="C153" s="116" t="s">
        <v>768</v>
      </c>
      <c r="D153" s="116" t="s">
        <v>233</v>
      </c>
      <c r="E153" s="116" t="s">
        <v>731</v>
      </c>
      <c r="F153" s="116" t="s">
        <v>38</v>
      </c>
      <c r="G153" s="116" t="s">
        <v>58</v>
      </c>
      <c r="H153" s="122" t="s">
        <v>769</v>
      </c>
      <c r="I153" s="116" t="s">
        <v>160</v>
      </c>
      <c r="J153" s="116">
        <v>3.9</v>
      </c>
      <c r="K153" s="118">
        <f t="shared" si="38"/>
        <v>274</v>
      </c>
      <c r="L153" s="118">
        <f t="shared" si="35"/>
        <v>274</v>
      </c>
      <c r="M153" s="118"/>
      <c r="N153" s="118"/>
      <c r="O153" s="118">
        <v>274</v>
      </c>
      <c r="P153" s="118"/>
      <c r="Q153" s="116"/>
      <c r="R153" s="116"/>
      <c r="S153" s="116"/>
      <c r="T153" s="116"/>
      <c r="U153" s="116"/>
      <c r="V153" s="116"/>
      <c r="W153" s="116">
        <v>30</v>
      </c>
      <c r="X153" s="116" t="s">
        <v>743</v>
      </c>
      <c r="Y153" s="124" t="s">
        <v>744</v>
      </c>
      <c r="Z153" s="116"/>
      <c r="AA153" s="119" t="s">
        <v>327</v>
      </c>
    </row>
    <row r="154" s="100" customFormat="1" ht="107" customHeight="1" spans="1:27">
      <c r="A154" s="116">
        <v>133</v>
      </c>
      <c r="B154" s="116" t="s">
        <v>770</v>
      </c>
      <c r="C154" s="116" t="s">
        <v>771</v>
      </c>
      <c r="D154" s="116" t="s">
        <v>233</v>
      </c>
      <c r="E154" s="116" t="s">
        <v>731</v>
      </c>
      <c r="F154" s="116" t="s">
        <v>38</v>
      </c>
      <c r="G154" s="116" t="s">
        <v>53</v>
      </c>
      <c r="H154" s="122" t="s">
        <v>772</v>
      </c>
      <c r="I154" s="116" t="s">
        <v>773</v>
      </c>
      <c r="J154" s="116">
        <v>30</v>
      </c>
      <c r="K154" s="118">
        <f t="shared" si="38"/>
        <v>120</v>
      </c>
      <c r="L154" s="118">
        <f t="shared" si="35"/>
        <v>120</v>
      </c>
      <c r="M154" s="118"/>
      <c r="N154" s="118"/>
      <c r="O154" s="118">
        <v>120</v>
      </c>
      <c r="P154" s="118"/>
      <c r="Q154" s="116"/>
      <c r="R154" s="116"/>
      <c r="S154" s="116"/>
      <c r="T154" s="116"/>
      <c r="U154" s="116"/>
      <c r="V154" s="116"/>
      <c r="W154" s="116">
        <v>15</v>
      </c>
      <c r="X154" s="116" t="s">
        <v>743</v>
      </c>
      <c r="Y154" s="124" t="s">
        <v>744</v>
      </c>
      <c r="Z154" s="116"/>
      <c r="AA154" s="119" t="s">
        <v>327</v>
      </c>
    </row>
    <row r="155" s="100" customFormat="1" ht="107" customHeight="1" spans="1:27">
      <c r="A155" s="116">
        <v>134</v>
      </c>
      <c r="B155" s="116" t="s">
        <v>774</v>
      </c>
      <c r="C155" s="116" t="s">
        <v>775</v>
      </c>
      <c r="D155" s="116" t="s">
        <v>233</v>
      </c>
      <c r="E155" s="116" t="s">
        <v>731</v>
      </c>
      <c r="F155" s="116" t="s">
        <v>38</v>
      </c>
      <c r="G155" s="116" t="s">
        <v>142</v>
      </c>
      <c r="H155" s="122" t="s">
        <v>776</v>
      </c>
      <c r="I155" s="116" t="s">
        <v>160</v>
      </c>
      <c r="J155" s="116">
        <v>5.6</v>
      </c>
      <c r="K155" s="118">
        <f t="shared" si="38"/>
        <v>392</v>
      </c>
      <c r="L155" s="118">
        <f t="shared" si="35"/>
        <v>392</v>
      </c>
      <c r="M155" s="118"/>
      <c r="N155" s="118"/>
      <c r="O155" s="118">
        <v>392</v>
      </c>
      <c r="P155" s="118"/>
      <c r="Q155" s="116"/>
      <c r="R155" s="116"/>
      <c r="S155" s="116"/>
      <c r="T155" s="116"/>
      <c r="U155" s="116"/>
      <c r="V155" s="116"/>
      <c r="W155" s="116">
        <v>35</v>
      </c>
      <c r="X155" s="116" t="s">
        <v>743</v>
      </c>
      <c r="Y155" s="124" t="s">
        <v>744</v>
      </c>
      <c r="Z155" s="116"/>
      <c r="AA155" s="119" t="s">
        <v>327</v>
      </c>
    </row>
    <row r="156" s="100" customFormat="1" ht="107" customHeight="1" spans="1:27">
      <c r="A156" s="116">
        <v>135</v>
      </c>
      <c r="B156" s="116" t="s">
        <v>777</v>
      </c>
      <c r="C156" s="116" t="s">
        <v>778</v>
      </c>
      <c r="D156" s="116" t="s">
        <v>233</v>
      </c>
      <c r="E156" s="116" t="s">
        <v>247</v>
      </c>
      <c r="F156" s="116" t="s">
        <v>38</v>
      </c>
      <c r="G156" s="116" t="s">
        <v>151</v>
      </c>
      <c r="H156" s="122" t="s">
        <v>779</v>
      </c>
      <c r="I156" s="116" t="s">
        <v>530</v>
      </c>
      <c r="J156" s="116">
        <v>2.438</v>
      </c>
      <c r="K156" s="118">
        <f t="shared" si="38"/>
        <v>398</v>
      </c>
      <c r="L156" s="118">
        <f t="shared" si="35"/>
        <v>398</v>
      </c>
      <c r="M156" s="118"/>
      <c r="N156" s="118"/>
      <c r="O156" s="118">
        <v>398</v>
      </c>
      <c r="P156" s="118"/>
      <c r="Q156" s="116"/>
      <c r="R156" s="116"/>
      <c r="S156" s="116"/>
      <c r="T156" s="116"/>
      <c r="U156" s="116"/>
      <c r="V156" s="116"/>
      <c r="W156" s="116">
        <v>40</v>
      </c>
      <c r="X156" s="116" t="s">
        <v>743</v>
      </c>
      <c r="Y156" s="124" t="s">
        <v>744</v>
      </c>
      <c r="Z156" s="116"/>
      <c r="AA156" s="119" t="s">
        <v>327</v>
      </c>
    </row>
    <row r="157" s="100" customFormat="1" ht="107" customHeight="1" spans="1:27">
      <c r="A157" s="116">
        <v>136</v>
      </c>
      <c r="B157" s="116" t="s">
        <v>780</v>
      </c>
      <c r="C157" s="116" t="s">
        <v>781</v>
      </c>
      <c r="D157" s="116" t="s">
        <v>233</v>
      </c>
      <c r="E157" s="116" t="s">
        <v>247</v>
      </c>
      <c r="F157" s="116" t="s">
        <v>38</v>
      </c>
      <c r="G157" s="116" t="s">
        <v>173</v>
      </c>
      <c r="H157" s="122" t="s">
        <v>782</v>
      </c>
      <c r="I157" s="116" t="s">
        <v>160</v>
      </c>
      <c r="J157" s="116">
        <v>3</v>
      </c>
      <c r="K157" s="118">
        <f t="shared" si="38"/>
        <v>167</v>
      </c>
      <c r="L157" s="118">
        <f t="shared" si="35"/>
        <v>167</v>
      </c>
      <c r="M157" s="118"/>
      <c r="N157" s="118"/>
      <c r="O157" s="118">
        <v>167</v>
      </c>
      <c r="P157" s="118"/>
      <c r="Q157" s="116"/>
      <c r="R157" s="116"/>
      <c r="S157" s="116"/>
      <c r="T157" s="116"/>
      <c r="U157" s="116"/>
      <c r="V157" s="116"/>
      <c r="W157" s="116">
        <v>20</v>
      </c>
      <c r="X157" s="116" t="s">
        <v>743</v>
      </c>
      <c r="Y157" s="124" t="s">
        <v>744</v>
      </c>
      <c r="Z157" s="116"/>
      <c r="AA157" s="119" t="s">
        <v>327</v>
      </c>
    </row>
    <row r="158" s="100" customFormat="1" ht="107" customHeight="1" spans="1:27">
      <c r="A158" s="116">
        <v>137</v>
      </c>
      <c r="B158" s="116" t="s">
        <v>783</v>
      </c>
      <c r="C158" s="116" t="s">
        <v>784</v>
      </c>
      <c r="D158" s="116" t="s">
        <v>233</v>
      </c>
      <c r="E158" s="116" t="s">
        <v>731</v>
      </c>
      <c r="F158" s="116" t="s">
        <v>38</v>
      </c>
      <c r="G158" s="116" t="s">
        <v>785</v>
      </c>
      <c r="H158" s="122" t="s">
        <v>786</v>
      </c>
      <c r="I158" s="116" t="s">
        <v>160</v>
      </c>
      <c r="J158" s="116">
        <v>3</v>
      </c>
      <c r="K158" s="118">
        <f t="shared" si="38"/>
        <v>210</v>
      </c>
      <c r="L158" s="118">
        <f t="shared" si="35"/>
        <v>210</v>
      </c>
      <c r="M158" s="118"/>
      <c r="N158" s="118"/>
      <c r="O158" s="118">
        <v>210</v>
      </c>
      <c r="P158" s="118"/>
      <c r="Q158" s="116"/>
      <c r="R158" s="116"/>
      <c r="S158" s="116"/>
      <c r="T158" s="116"/>
      <c r="U158" s="116"/>
      <c r="V158" s="116"/>
      <c r="W158" s="116">
        <v>45</v>
      </c>
      <c r="X158" s="116" t="s">
        <v>743</v>
      </c>
      <c r="Y158" s="124" t="s">
        <v>744</v>
      </c>
      <c r="Z158" s="116"/>
      <c r="AA158" s="119" t="s">
        <v>327</v>
      </c>
    </row>
    <row r="159" s="100" customFormat="1" ht="107" customHeight="1" spans="1:27">
      <c r="A159" s="116">
        <v>138</v>
      </c>
      <c r="B159" s="116" t="s">
        <v>787</v>
      </c>
      <c r="C159" s="116" t="s">
        <v>788</v>
      </c>
      <c r="D159" s="116" t="s">
        <v>233</v>
      </c>
      <c r="E159" s="116" t="s">
        <v>731</v>
      </c>
      <c r="F159" s="116" t="s">
        <v>38</v>
      </c>
      <c r="G159" s="116" t="s">
        <v>63</v>
      </c>
      <c r="H159" s="122" t="s">
        <v>789</v>
      </c>
      <c r="I159" s="116" t="s">
        <v>160</v>
      </c>
      <c r="J159" s="116">
        <v>5.5</v>
      </c>
      <c r="K159" s="118">
        <f t="shared" si="38"/>
        <v>385</v>
      </c>
      <c r="L159" s="118">
        <f t="shared" si="35"/>
        <v>385</v>
      </c>
      <c r="M159" s="118"/>
      <c r="N159" s="118"/>
      <c r="O159" s="118">
        <v>385</v>
      </c>
      <c r="P159" s="118"/>
      <c r="Q159" s="116"/>
      <c r="R159" s="116"/>
      <c r="S159" s="116"/>
      <c r="T159" s="116"/>
      <c r="U159" s="116"/>
      <c r="V159" s="116"/>
      <c r="W159" s="116">
        <v>50</v>
      </c>
      <c r="X159" s="116" t="s">
        <v>743</v>
      </c>
      <c r="Y159" s="124" t="s">
        <v>744</v>
      </c>
      <c r="Z159" s="116"/>
      <c r="AA159" s="119" t="s">
        <v>327</v>
      </c>
    </row>
    <row r="160" s="100" customFormat="1" ht="107" customHeight="1" spans="1:27">
      <c r="A160" s="116">
        <v>139</v>
      </c>
      <c r="B160" s="116" t="s">
        <v>790</v>
      </c>
      <c r="C160" s="116" t="s">
        <v>791</v>
      </c>
      <c r="D160" s="116" t="s">
        <v>233</v>
      </c>
      <c r="E160" s="116" t="s">
        <v>247</v>
      </c>
      <c r="F160" s="116" t="s">
        <v>38</v>
      </c>
      <c r="G160" s="116" t="s">
        <v>261</v>
      </c>
      <c r="H160" s="122" t="s">
        <v>792</v>
      </c>
      <c r="I160" s="116" t="s">
        <v>160</v>
      </c>
      <c r="J160" s="116">
        <v>2.94</v>
      </c>
      <c r="K160" s="118">
        <f t="shared" si="38"/>
        <v>395</v>
      </c>
      <c r="L160" s="118">
        <f t="shared" si="35"/>
        <v>395</v>
      </c>
      <c r="M160" s="118"/>
      <c r="N160" s="118"/>
      <c r="O160" s="118">
        <v>395</v>
      </c>
      <c r="P160" s="118"/>
      <c r="Q160" s="116"/>
      <c r="R160" s="116"/>
      <c r="S160" s="116"/>
      <c r="T160" s="116"/>
      <c r="U160" s="116"/>
      <c r="V160" s="116"/>
      <c r="W160" s="116">
        <v>30</v>
      </c>
      <c r="X160" s="116" t="s">
        <v>743</v>
      </c>
      <c r="Y160" s="124" t="s">
        <v>744</v>
      </c>
      <c r="Z160" s="116"/>
      <c r="AA160" s="119" t="s">
        <v>327</v>
      </c>
    </row>
    <row r="161" s="101" customFormat="1" ht="43" customHeight="1" spans="1:27">
      <c r="A161" s="127" t="s">
        <v>263</v>
      </c>
      <c r="B161" s="141" t="s">
        <v>264</v>
      </c>
      <c r="C161" s="142"/>
      <c r="D161" s="126"/>
      <c r="E161" s="127"/>
      <c r="F161" s="127"/>
      <c r="G161" s="127"/>
      <c r="H161" s="127">
        <v>1</v>
      </c>
      <c r="I161" s="128"/>
      <c r="J161" s="128">
        <f>K161/K7</f>
        <v>0.0271808231676486</v>
      </c>
      <c r="K161" s="129">
        <f t="shared" ref="K161:V161" si="39">SUM(K162)</f>
        <v>3600</v>
      </c>
      <c r="L161" s="129">
        <f t="shared" si="39"/>
        <v>3600</v>
      </c>
      <c r="M161" s="129">
        <f t="shared" si="39"/>
        <v>3600</v>
      </c>
      <c r="N161" s="129">
        <f t="shared" si="39"/>
        <v>0</v>
      </c>
      <c r="O161" s="129">
        <f t="shared" si="39"/>
        <v>0</v>
      </c>
      <c r="P161" s="129">
        <f t="shared" si="39"/>
        <v>0</v>
      </c>
      <c r="Q161" s="129">
        <f t="shared" si="39"/>
        <v>0</v>
      </c>
      <c r="R161" s="129">
        <f t="shared" si="39"/>
        <v>0</v>
      </c>
      <c r="S161" s="129">
        <f t="shared" si="39"/>
        <v>0</v>
      </c>
      <c r="T161" s="129">
        <f t="shared" si="39"/>
        <v>0</v>
      </c>
      <c r="U161" s="129">
        <f t="shared" si="39"/>
        <v>0</v>
      </c>
      <c r="V161" s="129">
        <f t="shared" si="39"/>
        <v>0</v>
      </c>
      <c r="W161" s="127"/>
      <c r="X161" s="129"/>
      <c r="Y161" s="129"/>
      <c r="Z161" s="129"/>
      <c r="AA161" s="131"/>
    </row>
    <row r="162" s="103" customFormat="1" ht="129" customHeight="1" spans="1:27">
      <c r="A162" s="116">
        <v>140</v>
      </c>
      <c r="B162" s="116" t="s">
        <v>793</v>
      </c>
      <c r="C162" s="116" t="s">
        <v>266</v>
      </c>
      <c r="D162" s="116" t="s">
        <v>267</v>
      </c>
      <c r="E162" s="116" t="s">
        <v>268</v>
      </c>
      <c r="F162" s="116" t="s">
        <v>38</v>
      </c>
      <c r="G162" s="116" t="s">
        <v>277</v>
      </c>
      <c r="H162" s="122" t="s">
        <v>794</v>
      </c>
      <c r="I162" s="116" t="s">
        <v>222</v>
      </c>
      <c r="J162" s="116">
        <v>12000</v>
      </c>
      <c r="K162" s="118">
        <f t="shared" ref="K162:K166" si="40">SUM(L162,T162:V162)</f>
        <v>3600</v>
      </c>
      <c r="L162" s="118">
        <f t="shared" ref="L162:L166" si="41">SUM(M162:S162)</f>
        <v>3600</v>
      </c>
      <c r="M162" s="118">
        <f>J162*0.3</f>
        <v>3600</v>
      </c>
      <c r="N162" s="118"/>
      <c r="O162" s="118"/>
      <c r="P162" s="118"/>
      <c r="Q162" s="116"/>
      <c r="R162" s="116"/>
      <c r="S162" s="116"/>
      <c r="T162" s="116"/>
      <c r="U162" s="116"/>
      <c r="V162" s="116"/>
      <c r="W162" s="116">
        <v>12000</v>
      </c>
      <c r="X162" s="116" t="s">
        <v>270</v>
      </c>
      <c r="Y162" s="116" t="s">
        <v>271</v>
      </c>
      <c r="Z162" s="116"/>
      <c r="AA162" s="119" t="s">
        <v>327</v>
      </c>
    </row>
    <row r="163" s="101" customFormat="1" ht="43" customHeight="1" spans="1:27">
      <c r="A163" s="127" t="s">
        <v>272</v>
      </c>
      <c r="B163" s="141" t="s">
        <v>273</v>
      </c>
      <c r="C163" s="142"/>
      <c r="D163" s="126"/>
      <c r="E163" s="127"/>
      <c r="F163" s="127"/>
      <c r="G163" s="127"/>
      <c r="H163" s="127">
        <v>1</v>
      </c>
      <c r="I163" s="128"/>
      <c r="J163" s="128">
        <f>K163/K7</f>
        <v>0.0162798030316899</v>
      </c>
      <c r="K163" s="129">
        <f t="shared" ref="K163:V163" si="42">SUM(K164)</f>
        <v>2156.2</v>
      </c>
      <c r="L163" s="129">
        <f t="shared" si="42"/>
        <v>2156.2</v>
      </c>
      <c r="M163" s="129">
        <f t="shared" si="42"/>
        <v>2156.2</v>
      </c>
      <c r="N163" s="129">
        <f t="shared" si="42"/>
        <v>0</v>
      </c>
      <c r="O163" s="129">
        <f t="shared" si="42"/>
        <v>0</v>
      </c>
      <c r="P163" s="129">
        <f t="shared" si="42"/>
        <v>0</v>
      </c>
      <c r="Q163" s="129">
        <f t="shared" si="42"/>
        <v>0</v>
      </c>
      <c r="R163" s="129">
        <f t="shared" si="42"/>
        <v>0</v>
      </c>
      <c r="S163" s="129">
        <f t="shared" si="42"/>
        <v>0</v>
      </c>
      <c r="T163" s="129">
        <f t="shared" si="42"/>
        <v>0</v>
      </c>
      <c r="U163" s="129">
        <f t="shared" si="42"/>
        <v>0</v>
      </c>
      <c r="V163" s="129">
        <f t="shared" si="42"/>
        <v>0</v>
      </c>
      <c r="W163" s="127"/>
      <c r="X163" s="129"/>
      <c r="Y163" s="129"/>
      <c r="Z163" s="129"/>
      <c r="AA163" s="131"/>
    </row>
    <row r="164" s="100" customFormat="1" ht="85" customHeight="1" spans="1:27">
      <c r="A164" s="116">
        <v>141</v>
      </c>
      <c r="B164" s="116" t="s">
        <v>795</v>
      </c>
      <c r="C164" s="116" t="s">
        <v>275</v>
      </c>
      <c r="D164" s="116" t="s">
        <v>273</v>
      </c>
      <c r="E164" s="116" t="s">
        <v>276</v>
      </c>
      <c r="F164" s="116" t="s">
        <v>38</v>
      </c>
      <c r="G164" s="116" t="s">
        <v>277</v>
      </c>
      <c r="H164" s="122" t="s">
        <v>278</v>
      </c>
      <c r="I164" s="116" t="s">
        <v>279</v>
      </c>
      <c r="J164" s="116">
        <v>2156.2</v>
      </c>
      <c r="K164" s="118">
        <f t="shared" si="40"/>
        <v>2156.2</v>
      </c>
      <c r="L164" s="118">
        <f t="shared" si="41"/>
        <v>2156.2</v>
      </c>
      <c r="M164" s="118">
        <v>2156.2</v>
      </c>
      <c r="N164" s="118"/>
      <c r="O164" s="118"/>
      <c r="P164" s="118"/>
      <c r="Q164" s="116"/>
      <c r="R164" s="116"/>
      <c r="S164" s="116"/>
      <c r="T164" s="116"/>
      <c r="U164" s="116"/>
      <c r="V164" s="116"/>
      <c r="W164" s="116">
        <v>12367</v>
      </c>
      <c r="X164" s="116" t="s">
        <v>280</v>
      </c>
      <c r="Y164" s="116" t="s">
        <v>281</v>
      </c>
      <c r="Z164" s="116"/>
      <c r="AA164" s="119" t="s">
        <v>337</v>
      </c>
    </row>
    <row r="165" s="101" customFormat="1" ht="43" customHeight="1" spans="1:27">
      <c r="A165" s="127" t="s">
        <v>796</v>
      </c>
      <c r="B165" s="141" t="s">
        <v>797</v>
      </c>
      <c r="C165" s="142"/>
      <c r="D165" s="126"/>
      <c r="E165" s="127"/>
      <c r="F165" s="127"/>
      <c r="G165" s="127"/>
      <c r="H165" s="127">
        <v>1</v>
      </c>
      <c r="I165" s="128"/>
      <c r="J165" s="128">
        <f>K165/K7</f>
        <v>0.00377511432884008</v>
      </c>
      <c r="K165" s="129">
        <f t="shared" ref="K165:V165" si="43">SUM(K166)</f>
        <v>500</v>
      </c>
      <c r="L165" s="129">
        <f t="shared" si="43"/>
        <v>500</v>
      </c>
      <c r="M165" s="129">
        <f t="shared" si="43"/>
        <v>500</v>
      </c>
      <c r="N165" s="129">
        <f t="shared" si="43"/>
        <v>0</v>
      </c>
      <c r="O165" s="129">
        <f t="shared" si="43"/>
        <v>0</v>
      </c>
      <c r="P165" s="129">
        <f t="shared" si="43"/>
        <v>0</v>
      </c>
      <c r="Q165" s="129">
        <f t="shared" si="43"/>
        <v>0</v>
      </c>
      <c r="R165" s="129">
        <f t="shared" si="43"/>
        <v>0</v>
      </c>
      <c r="S165" s="129">
        <f t="shared" si="43"/>
        <v>0</v>
      </c>
      <c r="T165" s="129">
        <f t="shared" si="43"/>
        <v>0</v>
      </c>
      <c r="U165" s="129">
        <f t="shared" si="43"/>
        <v>0</v>
      </c>
      <c r="V165" s="129">
        <f t="shared" si="43"/>
        <v>0</v>
      </c>
      <c r="W165" s="127"/>
      <c r="X165" s="129"/>
      <c r="Y165" s="129"/>
      <c r="Z165" s="129"/>
      <c r="AA165" s="131"/>
    </row>
    <row r="166" s="100" customFormat="1" ht="124" customHeight="1" spans="1:27">
      <c r="A166" s="116">
        <v>142</v>
      </c>
      <c r="B166" s="116" t="s">
        <v>798</v>
      </c>
      <c r="C166" s="116" t="s">
        <v>799</v>
      </c>
      <c r="D166" s="116" t="s">
        <v>797</v>
      </c>
      <c r="E166" s="116" t="s">
        <v>797</v>
      </c>
      <c r="F166" s="116" t="s">
        <v>38</v>
      </c>
      <c r="G166" s="116" t="s">
        <v>277</v>
      </c>
      <c r="H166" s="122" t="s">
        <v>800</v>
      </c>
      <c r="I166" s="116" t="s">
        <v>279</v>
      </c>
      <c r="J166" s="116">
        <v>500</v>
      </c>
      <c r="K166" s="118">
        <f t="shared" si="40"/>
        <v>500</v>
      </c>
      <c r="L166" s="118">
        <f t="shared" si="41"/>
        <v>500</v>
      </c>
      <c r="M166" s="118">
        <v>500</v>
      </c>
      <c r="N166" s="118"/>
      <c r="O166" s="118"/>
      <c r="P166" s="118"/>
      <c r="Q166" s="116"/>
      <c r="R166" s="116"/>
      <c r="S166" s="116"/>
      <c r="T166" s="116"/>
      <c r="U166" s="116"/>
      <c r="V166" s="116"/>
      <c r="W166" s="116"/>
      <c r="X166" s="116" t="s">
        <v>161</v>
      </c>
      <c r="Y166" s="116" t="s">
        <v>433</v>
      </c>
      <c r="Z166" s="116"/>
      <c r="AA166" s="119" t="s">
        <v>314</v>
      </c>
    </row>
    <row r="167" s="101" customFormat="1" ht="43" customHeight="1" spans="1:27">
      <c r="A167" s="127" t="s">
        <v>801</v>
      </c>
      <c r="B167" s="141" t="s">
        <v>802</v>
      </c>
      <c r="C167" s="142"/>
      <c r="D167" s="126"/>
      <c r="E167" s="127"/>
      <c r="F167" s="127"/>
      <c r="G167" s="127"/>
      <c r="H167" s="127">
        <v>2</v>
      </c>
      <c r="I167" s="128"/>
      <c r="J167" s="128">
        <f>K167/K7</f>
        <v>0.00149494527422067</v>
      </c>
      <c r="K167" s="129">
        <f t="shared" ref="K167:M167" si="44">SUM(K168:K169)</f>
        <v>198</v>
      </c>
      <c r="L167" s="129">
        <f t="shared" si="44"/>
        <v>198</v>
      </c>
      <c r="M167" s="129">
        <f t="shared" si="44"/>
        <v>150</v>
      </c>
      <c r="N167" s="129">
        <f t="shared" ref="N167:V167" si="45">SUM(N168)</f>
        <v>0</v>
      </c>
      <c r="O167" s="129">
        <f t="shared" si="45"/>
        <v>0</v>
      </c>
      <c r="P167" s="129">
        <f t="shared" si="45"/>
        <v>48</v>
      </c>
      <c r="Q167" s="129">
        <f t="shared" si="45"/>
        <v>0</v>
      </c>
      <c r="R167" s="129">
        <f t="shared" si="45"/>
        <v>0</v>
      </c>
      <c r="S167" s="129">
        <f t="shared" si="45"/>
        <v>0</v>
      </c>
      <c r="T167" s="129">
        <f t="shared" si="45"/>
        <v>0</v>
      </c>
      <c r="U167" s="129">
        <f t="shared" si="45"/>
        <v>0</v>
      </c>
      <c r="V167" s="129">
        <f t="shared" si="45"/>
        <v>0</v>
      </c>
      <c r="W167" s="127"/>
      <c r="X167" s="129"/>
      <c r="Y167" s="129"/>
      <c r="Z167" s="129"/>
      <c r="AA167" s="131"/>
    </row>
    <row r="168" s="100" customFormat="1" ht="89" customHeight="1" spans="1:27">
      <c r="A168" s="116">
        <v>143</v>
      </c>
      <c r="B168" s="116" t="s">
        <v>803</v>
      </c>
      <c r="C168" s="116" t="s">
        <v>804</v>
      </c>
      <c r="D168" s="116" t="s">
        <v>805</v>
      </c>
      <c r="E168" s="116" t="s">
        <v>806</v>
      </c>
      <c r="F168" s="116" t="s">
        <v>38</v>
      </c>
      <c r="G168" s="116" t="s">
        <v>277</v>
      </c>
      <c r="H168" s="122" t="s">
        <v>807</v>
      </c>
      <c r="I168" s="116" t="s">
        <v>432</v>
      </c>
      <c r="J168" s="116">
        <v>10185</v>
      </c>
      <c r="K168" s="118">
        <f>SUM(L168,T168:V168)</f>
        <v>48</v>
      </c>
      <c r="L168" s="118">
        <f>SUM(M168:S168)</f>
        <v>48</v>
      </c>
      <c r="M168" s="118"/>
      <c r="N168" s="118"/>
      <c r="O168" s="118"/>
      <c r="P168" s="118">
        <v>48</v>
      </c>
      <c r="Q168" s="116"/>
      <c r="R168" s="116"/>
      <c r="S168" s="116"/>
      <c r="T168" s="116"/>
      <c r="U168" s="116"/>
      <c r="V168" s="116"/>
      <c r="W168" s="116">
        <v>10023</v>
      </c>
      <c r="X168" s="116" t="s">
        <v>613</v>
      </c>
      <c r="Y168" s="116" t="s">
        <v>614</v>
      </c>
      <c r="Z168" s="116"/>
      <c r="AA168" s="119" t="s">
        <v>327</v>
      </c>
    </row>
    <row r="169" s="100" customFormat="1" ht="89" customHeight="1" spans="1:27">
      <c r="A169" s="116">
        <v>144</v>
      </c>
      <c r="B169" s="116" t="s">
        <v>808</v>
      </c>
      <c r="C169" s="116" t="s">
        <v>809</v>
      </c>
      <c r="D169" s="116" t="s">
        <v>218</v>
      </c>
      <c r="E169" s="116" t="s">
        <v>810</v>
      </c>
      <c r="F169" s="116" t="s">
        <v>38</v>
      </c>
      <c r="G169" s="116" t="s">
        <v>277</v>
      </c>
      <c r="H169" s="122" t="s">
        <v>811</v>
      </c>
      <c r="I169" s="116" t="s">
        <v>222</v>
      </c>
      <c r="J169" s="116">
        <v>500</v>
      </c>
      <c r="K169" s="118">
        <f>SUM(L169,T169:V169)</f>
        <v>150</v>
      </c>
      <c r="L169" s="118">
        <f>SUM(M169:S169)</f>
        <v>150</v>
      </c>
      <c r="M169" s="118">
        <v>150</v>
      </c>
      <c r="N169" s="118"/>
      <c r="O169" s="118"/>
      <c r="P169" s="118"/>
      <c r="Q169" s="116"/>
      <c r="R169" s="116"/>
      <c r="S169" s="116"/>
      <c r="T169" s="116"/>
      <c r="U169" s="116"/>
      <c r="V169" s="116"/>
      <c r="W169" s="116">
        <v>2000</v>
      </c>
      <c r="X169" s="116" t="s">
        <v>161</v>
      </c>
      <c r="Y169" s="116" t="s">
        <v>433</v>
      </c>
      <c r="Z169" s="116"/>
      <c r="AA169" s="119" t="s">
        <v>337</v>
      </c>
    </row>
  </sheetData>
  <autoFilter xmlns:etc="http://www.wps.cn/officeDocument/2017/etCustomData" ref="A7:AA169" etc:filterBottomFollowUsedRange="0">
    <extLst/>
  </autoFilter>
  <mergeCells count="48">
    <mergeCell ref="A1:Z1"/>
    <mergeCell ref="A2:D2"/>
    <mergeCell ref="L3:V3"/>
    <mergeCell ref="L4:S4"/>
    <mergeCell ref="M5:N5"/>
    <mergeCell ref="A7:F7"/>
    <mergeCell ref="B8:C8"/>
    <mergeCell ref="A9:C9"/>
    <mergeCell ref="A37:C37"/>
    <mergeCell ref="A66:C66"/>
    <mergeCell ref="A73:C73"/>
    <mergeCell ref="A79:C79"/>
    <mergeCell ref="A85:C85"/>
    <mergeCell ref="B120:C120"/>
    <mergeCell ref="B128:C128"/>
    <mergeCell ref="A129:C129"/>
    <mergeCell ref="A132:C132"/>
    <mergeCell ref="A141:C141"/>
    <mergeCell ref="A144:C144"/>
    <mergeCell ref="B161:C161"/>
    <mergeCell ref="B163:C163"/>
    <mergeCell ref="B165:C165"/>
    <mergeCell ref="B167:C16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3:Y6"/>
    <mergeCell ref="Z3:Z6"/>
    <mergeCell ref="AA3:AA6"/>
  </mergeCells>
  <dataValidations count="4">
    <dataValidation type="list" allowBlank="1" showErrorMessage="1" sqref="E37 E165 E4:E8 E169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F120 F9:F35 F38:F75 F77:F84 F87:F89 F92:F96 F101:F102 F128:F143 F145:F164 F166:F168">
      <formula1>"新建,改建,扩建"</formula1>
    </dataValidation>
    <dataValidation type="list" allowBlank="1" showInputMessage="1" showErrorMessage="1" sqref="D9:D36 D38:D87 D90:D92 D94:D100 D102:D133 D135:D143 D145:D164 D166:D168">
      <formula1>下拉列表!$A$1:$G$1</formula1>
    </dataValidation>
    <dataValidation type="list" allowBlank="1" showInputMessage="1" showErrorMessage="1" sqref="E9:E36 E38:E143 E145:E164 E166:E168">
      <formula1>INDIRECT(D9)</formula1>
    </dataValidation>
  </dataValidations>
  <pageMargins left="0.393055555555556" right="0.393055555555556" top="0.590277777777778" bottom="0.590277777777778" header="0.298611111111111" footer="0.298611111111111"/>
  <pageSetup paperSize="8" scale="61" fitToHeight="0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142"/>
  <sheetViews>
    <sheetView showZeros="0" zoomScale="40" zoomScaleNormal="40" workbookViewId="0">
      <pane ySplit="6" topLeftCell="A7" activePane="bottomLeft" state="frozen"/>
      <selection/>
      <selection pane="bottomLeft" activeCell="H11" sqref="H11"/>
    </sheetView>
  </sheetViews>
  <sheetFormatPr defaultColWidth="9" defaultRowHeight="17.5"/>
  <cols>
    <col min="1" max="1" width="9.25384615384615" style="29" customWidth="1"/>
    <col min="2" max="2" width="13.2538461538462" style="30" customWidth="1"/>
    <col min="3" max="3" width="50.3846153846154" style="30" customWidth="1"/>
    <col min="4" max="4" width="12.3769230769231" style="30" customWidth="1"/>
    <col min="5" max="5" width="20.5769230769231" style="30" customWidth="1"/>
    <col min="6" max="6" width="11.5384615384615" style="30" customWidth="1"/>
    <col min="7" max="7" width="53.6230769230769" style="30" customWidth="1"/>
    <col min="8" max="8" width="145.576923076923" style="31" customWidth="1"/>
    <col min="9" max="9" width="17.1230769230769" style="31" customWidth="1"/>
    <col min="10" max="10" width="24.8769230769231" style="31" customWidth="1"/>
    <col min="11" max="13" width="26.2538461538462" style="32" customWidth="1"/>
    <col min="14" max="16" width="23.5" style="32" customWidth="1"/>
    <col min="17" max="17" width="15.1230769230769" style="30" customWidth="1"/>
    <col min="18" max="18" width="17.8769230769231" style="30" customWidth="1"/>
    <col min="19" max="19" width="15.1230769230769" style="30" customWidth="1"/>
    <col min="20" max="20" width="23.5" style="30" customWidth="1"/>
    <col min="21" max="21" width="20.7538461538462" style="30" customWidth="1"/>
    <col min="22" max="22" width="23.8769230769231" style="30" customWidth="1"/>
    <col min="23" max="23" width="15.6230769230769" style="30" customWidth="1"/>
    <col min="24" max="24" width="17.6923076923077" style="30" customWidth="1"/>
    <col min="25" max="25" width="20.1923076923077" style="33" customWidth="1"/>
    <col min="26" max="26" width="10.8769230769231" style="34" customWidth="1"/>
    <col min="27" max="27" width="22.6230769230769" style="33" customWidth="1"/>
    <col min="28" max="28" width="9" style="35" hidden="1" customWidth="1"/>
    <col min="29" max="29" width="18.3846153846154" style="35" hidden="1" customWidth="1"/>
    <col min="30" max="16384" width="9" style="36"/>
  </cols>
  <sheetData>
    <row r="1" s="22" customFormat="1" ht="84" customHeight="1" spans="1:29">
      <c r="A1" s="37" t="s">
        <v>812</v>
      </c>
      <c r="B1" s="37"/>
      <c r="C1" s="37"/>
      <c r="D1" s="38"/>
      <c r="E1" s="38"/>
      <c r="F1" s="38"/>
      <c r="G1" s="37"/>
      <c r="H1" s="37"/>
      <c r="I1" s="37"/>
      <c r="J1" s="37"/>
      <c r="K1" s="39"/>
      <c r="L1" s="40"/>
      <c r="M1" s="40"/>
      <c r="N1" s="40"/>
      <c r="O1" s="40"/>
      <c r="P1" s="40"/>
      <c r="Q1" s="38"/>
      <c r="R1" s="38"/>
      <c r="S1" s="38"/>
      <c r="T1" s="38"/>
      <c r="U1" s="38"/>
      <c r="V1" s="38"/>
      <c r="W1" s="38"/>
      <c r="X1" s="38"/>
      <c r="Y1" s="37"/>
      <c r="Z1" s="37"/>
      <c r="AA1" s="37"/>
      <c r="AB1" s="41"/>
      <c r="AC1" s="41"/>
    </row>
    <row r="2" s="23" customFormat="1" ht="50" customHeight="1" spans="1:29">
      <c r="A2" s="42" t="s">
        <v>1</v>
      </c>
      <c r="B2" s="42"/>
      <c r="C2" s="42"/>
      <c r="D2" s="42"/>
      <c r="E2" s="43"/>
      <c r="F2" s="42"/>
      <c r="G2" s="42"/>
      <c r="H2" s="44"/>
      <c r="I2" s="42"/>
      <c r="J2" s="42"/>
      <c r="K2" s="45"/>
      <c r="L2" s="45"/>
      <c r="M2" s="45"/>
      <c r="N2" s="45"/>
      <c r="O2" s="45"/>
      <c r="P2" s="45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6"/>
      <c r="AC2" s="46"/>
    </row>
    <row r="3" s="24" customFormat="1" ht="42" customHeight="1" spans="1:2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13</v>
      </c>
      <c r="L3" s="11" t="s">
        <v>14</v>
      </c>
      <c r="M3" s="11"/>
      <c r="N3" s="11"/>
      <c r="O3" s="11"/>
      <c r="P3" s="11"/>
      <c r="Q3" s="10"/>
      <c r="R3" s="10"/>
      <c r="S3" s="10"/>
      <c r="T3" s="10"/>
      <c r="U3" s="10"/>
      <c r="V3" s="10"/>
      <c r="W3" s="10" t="s">
        <v>10</v>
      </c>
      <c r="X3" s="10" t="s">
        <v>15</v>
      </c>
      <c r="Y3" s="10" t="s">
        <v>16</v>
      </c>
      <c r="Z3" s="10" t="s">
        <v>15</v>
      </c>
      <c r="AA3" s="10" t="s">
        <v>17</v>
      </c>
      <c r="AB3" s="47"/>
      <c r="AC3" s="47"/>
    </row>
    <row r="4" s="24" customFormat="1" ht="42" customHeight="1" spans="1:29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 t="s">
        <v>18</v>
      </c>
      <c r="M4" s="11"/>
      <c r="N4" s="11"/>
      <c r="O4" s="11"/>
      <c r="P4" s="11"/>
      <c r="Q4" s="10"/>
      <c r="R4" s="10"/>
      <c r="S4" s="10"/>
      <c r="T4" s="10" t="s">
        <v>19</v>
      </c>
      <c r="U4" s="10" t="s">
        <v>20</v>
      </c>
      <c r="V4" s="10" t="s">
        <v>21</v>
      </c>
      <c r="W4" s="10"/>
      <c r="X4" s="10"/>
      <c r="Y4" s="10"/>
      <c r="Z4" s="10"/>
      <c r="AA4" s="10"/>
      <c r="AB4" s="47"/>
      <c r="AC4" s="47"/>
    </row>
    <row r="5" s="24" customFormat="1" ht="42" customHeight="1" spans="1:29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  <c r="L5" s="48" t="s">
        <v>22</v>
      </c>
      <c r="M5" s="49" t="s">
        <v>23</v>
      </c>
      <c r="N5" s="50"/>
      <c r="O5" s="48" t="s">
        <v>24</v>
      </c>
      <c r="P5" s="48" t="s">
        <v>25</v>
      </c>
      <c r="Q5" s="12" t="s">
        <v>26</v>
      </c>
      <c r="R5" s="12" t="s">
        <v>27</v>
      </c>
      <c r="S5" s="12" t="s">
        <v>28</v>
      </c>
      <c r="T5" s="10"/>
      <c r="U5" s="10"/>
      <c r="V5" s="10"/>
      <c r="W5" s="10"/>
      <c r="X5" s="10"/>
      <c r="Y5" s="10"/>
      <c r="Z5" s="10"/>
      <c r="AA5" s="10"/>
      <c r="AB5" s="47"/>
      <c r="AC5" s="47"/>
    </row>
    <row r="6" s="24" customFormat="1" ht="42" customHeight="1" spans="1:29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51"/>
      <c r="M6" s="11" t="s">
        <v>29</v>
      </c>
      <c r="N6" s="11" t="s">
        <v>30</v>
      </c>
      <c r="O6" s="51"/>
      <c r="P6" s="51"/>
      <c r="Q6" s="52"/>
      <c r="R6" s="52"/>
      <c r="S6" s="52"/>
      <c r="T6" s="10"/>
      <c r="U6" s="10"/>
      <c r="V6" s="10"/>
      <c r="W6" s="10"/>
      <c r="X6" s="10"/>
      <c r="Y6" s="10"/>
      <c r="Z6" s="10"/>
      <c r="AA6" s="10"/>
      <c r="AB6" s="47"/>
      <c r="AC6" s="47"/>
    </row>
    <row r="7" s="25" customFormat="1" ht="43" customHeight="1" spans="1:29">
      <c r="A7" s="53" t="s">
        <v>31</v>
      </c>
      <c r="B7" s="53"/>
      <c r="C7" s="53"/>
      <c r="D7" s="53"/>
      <c r="E7" s="53"/>
      <c r="F7" s="53"/>
      <c r="G7" s="53"/>
      <c r="H7" s="53">
        <f>SUM(H8,H98,H106,H139,H141)</f>
        <v>122</v>
      </c>
      <c r="I7" s="53"/>
      <c r="J7" s="53"/>
      <c r="K7" s="54">
        <f>SUM(K8,K98,K106,K139,K141)</f>
        <v>84516.264655</v>
      </c>
      <c r="L7" s="54">
        <f t="shared" ref="L7:V7" si="0">SUM(L8,L98,L106,L139,L141)</f>
        <v>82290.184655</v>
      </c>
      <c r="M7" s="54">
        <f t="shared" si="0"/>
        <v>48378.46125</v>
      </c>
      <c r="N7" s="54">
        <f t="shared" si="0"/>
        <v>24852.423405</v>
      </c>
      <c r="O7" s="54">
        <f t="shared" si="0"/>
        <v>5481</v>
      </c>
      <c r="P7" s="54">
        <f t="shared" si="0"/>
        <v>3493.3</v>
      </c>
      <c r="Q7" s="54">
        <f t="shared" si="0"/>
        <v>0</v>
      </c>
      <c r="R7" s="54">
        <f t="shared" si="0"/>
        <v>85</v>
      </c>
      <c r="S7" s="54">
        <f t="shared" si="0"/>
        <v>0</v>
      </c>
      <c r="T7" s="54">
        <f t="shared" si="0"/>
        <v>2000</v>
      </c>
      <c r="U7" s="54">
        <f t="shared" si="0"/>
        <v>226.08</v>
      </c>
      <c r="V7" s="54">
        <f t="shared" si="0"/>
        <v>0</v>
      </c>
      <c r="W7" s="54"/>
      <c r="X7" s="54"/>
      <c r="Y7" s="55"/>
      <c r="Z7" s="55"/>
      <c r="AA7" s="55"/>
      <c r="AB7" s="56"/>
      <c r="AC7" s="56"/>
    </row>
    <row r="8" s="67" customFormat="1" ht="43" customHeight="1" spans="1:29">
      <c r="A8" s="53" t="s">
        <v>32</v>
      </c>
      <c r="B8" s="71" t="s">
        <v>33</v>
      </c>
      <c r="C8" s="72"/>
      <c r="D8" s="73"/>
      <c r="E8" s="53"/>
      <c r="F8" s="53"/>
      <c r="G8" s="53"/>
      <c r="H8" s="53">
        <f>SUBTOTAL(9,H31,H57,H60,H63,H9,H69)</f>
        <v>86</v>
      </c>
      <c r="I8" s="74"/>
      <c r="J8" s="74">
        <f>K8/K7</f>
        <v>0.739298582468807</v>
      </c>
      <c r="K8" s="54">
        <f t="shared" ref="K8:V8" si="1">SUM(K31,K57,K60,K63,K9,K69)</f>
        <v>62482.754655</v>
      </c>
      <c r="L8" s="54">
        <f t="shared" si="1"/>
        <v>62320.874655</v>
      </c>
      <c r="M8" s="54">
        <f t="shared" si="1"/>
        <v>44748.46125</v>
      </c>
      <c r="N8" s="54">
        <f t="shared" si="1"/>
        <v>14904.113405</v>
      </c>
      <c r="O8" s="54">
        <f t="shared" si="1"/>
        <v>0</v>
      </c>
      <c r="P8" s="54">
        <f t="shared" si="1"/>
        <v>2583.3</v>
      </c>
      <c r="Q8" s="54">
        <f t="shared" si="1"/>
        <v>0</v>
      </c>
      <c r="R8" s="54">
        <f t="shared" si="1"/>
        <v>85</v>
      </c>
      <c r="S8" s="54">
        <f t="shared" si="1"/>
        <v>0</v>
      </c>
      <c r="T8" s="54">
        <f t="shared" si="1"/>
        <v>0</v>
      </c>
      <c r="U8" s="54">
        <f t="shared" si="1"/>
        <v>161.88</v>
      </c>
      <c r="V8" s="54">
        <f t="shared" si="1"/>
        <v>0</v>
      </c>
      <c r="W8" s="53"/>
      <c r="X8" s="53"/>
      <c r="Y8" s="54">
        <f t="shared" ref="Y8:AA8" si="2">SUM(Y31,Y57,Y60,Y63,Y9,Y69)</f>
        <v>0</v>
      </c>
      <c r="Z8" s="54">
        <f t="shared" si="2"/>
        <v>0</v>
      </c>
      <c r="AA8" s="75">
        <f t="shared" si="2"/>
        <v>0</v>
      </c>
    </row>
    <row r="9" s="67" customFormat="1" ht="43" customHeight="1" spans="1:29">
      <c r="A9" s="76" t="s">
        <v>306</v>
      </c>
      <c r="B9" s="77"/>
      <c r="C9" s="78"/>
      <c r="D9" s="73"/>
      <c r="E9" s="53"/>
      <c r="F9" s="53"/>
      <c r="G9" s="53"/>
      <c r="H9" s="53">
        <v>21</v>
      </c>
      <c r="I9" s="74"/>
      <c r="J9" s="74">
        <f>K9/K7</f>
        <v>0.277000702179222</v>
      </c>
      <c r="K9" s="54">
        <f t="shared" ref="K9:V9" si="3">SUM(K10:K30)</f>
        <v>23411.064655</v>
      </c>
      <c r="L9" s="54">
        <f t="shared" si="3"/>
        <v>23411.064655</v>
      </c>
      <c r="M9" s="54">
        <f t="shared" si="3"/>
        <v>15894.45125</v>
      </c>
      <c r="N9" s="54">
        <f t="shared" si="3"/>
        <v>7516.613405</v>
      </c>
      <c r="O9" s="54">
        <f t="shared" si="3"/>
        <v>0</v>
      </c>
      <c r="P9" s="54">
        <f t="shared" si="3"/>
        <v>0</v>
      </c>
      <c r="Q9" s="54">
        <f t="shared" si="3"/>
        <v>0</v>
      </c>
      <c r="R9" s="54">
        <f t="shared" si="3"/>
        <v>0</v>
      </c>
      <c r="S9" s="54">
        <f t="shared" si="3"/>
        <v>0</v>
      </c>
      <c r="T9" s="54">
        <f t="shared" si="3"/>
        <v>0</v>
      </c>
      <c r="U9" s="54">
        <f t="shared" si="3"/>
        <v>0</v>
      </c>
      <c r="V9" s="54">
        <f t="shared" si="3"/>
        <v>0</v>
      </c>
      <c r="W9" s="53"/>
      <c r="X9" s="53"/>
      <c r="Y9" s="75"/>
      <c r="Z9" s="75"/>
      <c r="AA9" s="75"/>
    </row>
    <row r="10" s="28" customFormat="1" ht="191" customHeight="1" spans="1:29">
      <c r="A10" s="63">
        <v>1</v>
      </c>
      <c r="B10" s="63" t="s">
        <v>323</v>
      </c>
      <c r="C10" s="63" t="s">
        <v>324</v>
      </c>
      <c r="D10" s="63" t="s">
        <v>33</v>
      </c>
      <c r="E10" s="63" t="s">
        <v>37</v>
      </c>
      <c r="F10" s="63" t="s">
        <v>38</v>
      </c>
      <c r="G10" s="63" t="s">
        <v>813</v>
      </c>
      <c r="H10" s="64" t="s">
        <v>814</v>
      </c>
      <c r="I10" s="63" t="s">
        <v>41</v>
      </c>
      <c r="J10" s="63">
        <v>14228.07</v>
      </c>
      <c r="K10" s="65">
        <f t="shared" ref="K10:K15" si="4">SUM(L10,T10,U10,V10)</f>
        <v>135.166665</v>
      </c>
      <c r="L10" s="65">
        <f t="shared" ref="L10:L15" si="5">SUM(M10:S10)</f>
        <v>135.166665</v>
      </c>
      <c r="M10" s="65"/>
      <c r="N10" s="65">
        <f>J10*95/10000</f>
        <v>135.166665</v>
      </c>
      <c r="O10" s="65"/>
      <c r="P10" s="65"/>
      <c r="Q10" s="63"/>
      <c r="R10" s="63"/>
      <c r="S10" s="63"/>
      <c r="T10" s="63"/>
      <c r="U10" s="63"/>
      <c r="V10" s="63"/>
      <c r="W10" s="63" t="s">
        <v>815</v>
      </c>
      <c r="X10" s="63" t="s">
        <v>816</v>
      </c>
      <c r="Y10" s="63" t="s">
        <v>311</v>
      </c>
      <c r="Z10" s="63" t="s">
        <v>312</v>
      </c>
      <c r="AA10" s="63" t="s">
        <v>313</v>
      </c>
      <c r="AB10" s="28">
        <v>1757</v>
      </c>
      <c r="AC10" s="79">
        <f t="shared" ref="AC10:AC15" si="6">K10/AB10</f>
        <v>0.0769303727945361</v>
      </c>
    </row>
    <row r="11" s="28" customFormat="1" ht="408" customHeight="1" spans="1:29">
      <c r="A11" s="63">
        <v>2</v>
      </c>
      <c r="B11" s="63" t="s">
        <v>328</v>
      </c>
      <c r="C11" s="63" t="s">
        <v>329</v>
      </c>
      <c r="D11" s="63" t="s">
        <v>33</v>
      </c>
      <c r="E11" s="63" t="s">
        <v>37</v>
      </c>
      <c r="F11" s="63" t="s">
        <v>38</v>
      </c>
      <c r="G11" s="63" t="s">
        <v>817</v>
      </c>
      <c r="H11" s="64" t="s">
        <v>818</v>
      </c>
      <c r="I11" s="63" t="s">
        <v>41</v>
      </c>
      <c r="J11" s="63">
        <v>176883.97</v>
      </c>
      <c r="K11" s="65">
        <f t="shared" si="4"/>
        <v>4422.09925</v>
      </c>
      <c r="L11" s="65">
        <f t="shared" si="5"/>
        <v>4422.09925</v>
      </c>
      <c r="M11" s="65">
        <f>J11*0.025</f>
        <v>4422.09925</v>
      </c>
      <c r="N11" s="65"/>
      <c r="O11" s="65"/>
      <c r="P11" s="65"/>
      <c r="Q11" s="63"/>
      <c r="R11" s="63"/>
      <c r="S11" s="63"/>
      <c r="T11" s="63"/>
      <c r="U11" s="63"/>
      <c r="V11" s="63"/>
      <c r="W11" s="63" t="s">
        <v>815</v>
      </c>
      <c r="X11" s="63" t="s">
        <v>816</v>
      </c>
      <c r="Y11" s="63" t="s">
        <v>311</v>
      </c>
      <c r="Z11" s="63" t="s">
        <v>312</v>
      </c>
      <c r="AA11" s="63" t="s">
        <v>313</v>
      </c>
      <c r="AB11" s="28">
        <v>18647</v>
      </c>
      <c r="AC11" s="79">
        <f t="shared" si="6"/>
        <v>0.237148026492197</v>
      </c>
    </row>
    <row r="12" s="28" customFormat="1" ht="377" customHeight="1" spans="1:29">
      <c r="A12" s="63">
        <v>3</v>
      </c>
      <c r="B12" s="63" t="s">
        <v>425</v>
      </c>
      <c r="C12" s="63" t="s">
        <v>426</v>
      </c>
      <c r="D12" s="63" t="s">
        <v>33</v>
      </c>
      <c r="E12" s="63" t="s">
        <v>211</v>
      </c>
      <c r="F12" s="63" t="s">
        <v>38</v>
      </c>
      <c r="G12" s="63" t="s">
        <v>819</v>
      </c>
      <c r="H12" s="64" t="s">
        <v>820</v>
      </c>
      <c r="I12" s="63" t="s">
        <v>41</v>
      </c>
      <c r="J12" s="63">
        <v>173555.11</v>
      </c>
      <c r="K12" s="65">
        <f t="shared" si="4"/>
        <v>694.22044</v>
      </c>
      <c r="L12" s="65">
        <f t="shared" si="5"/>
        <v>694.22044</v>
      </c>
      <c r="M12" s="65"/>
      <c r="N12" s="65">
        <f>J12*0.004</f>
        <v>694.22044</v>
      </c>
      <c r="O12" s="65"/>
      <c r="P12" s="65"/>
      <c r="Q12" s="63"/>
      <c r="R12" s="63"/>
      <c r="S12" s="63"/>
      <c r="T12" s="63"/>
      <c r="U12" s="63"/>
      <c r="V12" s="63"/>
      <c r="W12" s="63" t="s">
        <v>815</v>
      </c>
      <c r="X12" s="63" t="s">
        <v>816</v>
      </c>
      <c r="Y12" s="63" t="s">
        <v>311</v>
      </c>
      <c r="Z12" s="63" t="s">
        <v>312</v>
      </c>
      <c r="AA12" s="63" t="s">
        <v>313</v>
      </c>
      <c r="AB12" s="28">
        <v>16785</v>
      </c>
      <c r="AC12" s="79">
        <f t="shared" si="6"/>
        <v>0.0413595734286565</v>
      </c>
    </row>
    <row r="13" s="28" customFormat="1" ht="336" customHeight="1" spans="1:29">
      <c r="A13" s="63">
        <v>4</v>
      </c>
      <c r="B13" s="63" t="s">
        <v>342</v>
      </c>
      <c r="C13" s="63" t="s">
        <v>343</v>
      </c>
      <c r="D13" s="63" t="s">
        <v>33</v>
      </c>
      <c r="E13" s="63" t="s">
        <v>37</v>
      </c>
      <c r="F13" s="63" t="s">
        <v>38</v>
      </c>
      <c r="G13" s="63" t="s">
        <v>821</v>
      </c>
      <c r="H13" s="64" t="s">
        <v>822</v>
      </c>
      <c r="I13" s="63" t="s">
        <v>41</v>
      </c>
      <c r="J13" s="63">
        <v>21199.1</v>
      </c>
      <c r="K13" s="65">
        <f t="shared" si="4"/>
        <v>63.5973</v>
      </c>
      <c r="L13" s="65">
        <f t="shared" si="5"/>
        <v>63.5973</v>
      </c>
      <c r="M13" s="65"/>
      <c r="N13" s="65">
        <f>J13*0.003</f>
        <v>63.5973</v>
      </c>
      <c r="O13" s="65"/>
      <c r="P13" s="65"/>
      <c r="Q13" s="63"/>
      <c r="R13" s="63"/>
      <c r="S13" s="63"/>
      <c r="T13" s="63"/>
      <c r="U13" s="63"/>
      <c r="V13" s="63"/>
      <c r="W13" s="63" t="s">
        <v>815</v>
      </c>
      <c r="X13" s="63" t="s">
        <v>816</v>
      </c>
      <c r="Y13" s="63" t="s">
        <v>44</v>
      </c>
      <c r="Z13" s="63" t="s">
        <v>45</v>
      </c>
      <c r="AA13" s="63" t="s">
        <v>336</v>
      </c>
      <c r="AB13" s="28">
        <v>4282</v>
      </c>
      <c r="AC13" s="79">
        <f t="shared" si="6"/>
        <v>0.0148522419430173</v>
      </c>
    </row>
    <row r="14" s="27" customFormat="1" ht="236" customHeight="1" spans="1:29">
      <c r="A14" s="63">
        <v>5</v>
      </c>
      <c r="B14" s="63" t="s">
        <v>346</v>
      </c>
      <c r="C14" s="63" t="s">
        <v>347</v>
      </c>
      <c r="D14" s="63" t="s">
        <v>33</v>
      </c>
      <c r="E14" s="63" t="s">
        <v>348</v>
      </c>
      <c r="F14" s="63" t="s">
        <v>38</v>
      </c>
      <c r="G14" s="63" t="s">
        <v>823</v>
      </c>
      <c r="H14" s="64" t="s">
        <v>824</v>
      </c>
      <c r="I14" s="63" t="s">
        <v>41</v>
      </c>
      <c r="J14" s="63">
        <v>4025.54</v>
      </c>
      <c r="K14" s="65">
        <f t="shared" si="4"/>
        <v>40.2554</v>
      </c>
      <c r="L14" s="65">
        <f t="shared" si="5"/>
        <v>40.2554</v>
      </c>
      <c r="M14" s="65"/>
      <c r="N14" s="65">
        <f>J14*0.01</f>
        <v>40.2554</v>
      </c>
      <c r="O14" s="65"/>
      <c r="P14" s="65"/>
      <c r="Q14" s="63"/>
      <c r="R14" s="63"/>
      <c r="S14" s="63"/>
      <c r="T14" s="63"/>
      <c r="U14" s="63"/>
      <c r="V14" s="63"/>
      <c r="W14" s="63" t="s">
        <v>815</v>
      </c>
      <c r="X14" s="63" t="s">
        <v>816</v>
      </c>
      <c r="Y14" s="63" t="s">
        <v>351</v>
      </c>
      <c r="Z14" s="63" t="s">
        <v>352</v>
      </c>
      <c r="AA14" s="63" t="s">
        <v>336</v>
      </c>
      <c r="AB14" s="28">
        <v>403</v>
      </c>
      <c r="AC14" s="79">
        <f t="shared" si="6"/>
        <v>0.0998893300248139</v>
      </c>
    </row>
    <row r="15" s="28" customFormat="1" ht="248.5" spans="1:29">
      <c r="A15" s="63">
        <v>6</v>
      </c>
      <c r="B15" s="63" t="s">
        <v>353</v>
      </c>
      <c r="C15" s="63" t="s">
        <v>354</v>
      </c>
      <c r="D15" s="63" t="s">
        <v>33</v>
      </c>
      <c r="E15" s="63" t="s">
        <v>37</v>
      </c>
      <c r="F15" s="63" t="s">
        <v>38</v>
      </c>
      <c r="G15" s="63" t="s">
        <v>825</v>
      </c>
      <c r="H15" s="64" t="s">
        <v>826</v>
      </c>
      <c r="I15" s="63" t="s">
        <v>41</v>
      </c>
      <c r="J15" s="63">
        <v>1891.98</v>
      </c>
      <c r="K15" s="65">
        <f t="shared" si="4"/>
        <v>85.1391</v>
      </c>
      <c r="L15" s="65">
        <f t="shared" si="5"/>
        <v>85.1391</v>
      </c>
      <c r="M15" s="65"/>
      <c r="N15" s="65">
        <f>J15*0.045</f>
        <v>85.1391</v>
      </c>
      <c r="O15" s="65"/>
      <c r="P15" s="65"/>
      <c r="Q15" s="63"/>
      <c r="R15" s="63"/>
      <c r="S15" s="63"/>
      <c r="T15" s="63"/>
      <c r="U15" s="63"/>
      <c r="V15" s="63"/>
      <c r="W15" s="63" t="s">
        <v>815</v>
      </c>
      <c r="X15" s="63" t="s">
        <v>816</v>
      </c>
      <c r="Y15" s="63" t="s">
        <v>166</v>
      </c>
      <c r="Z15" s="63" t="s">
        <v>357</v>
      </c>
      <c r="AA15" s="63" t="s">
        <v>358</v>
      </c>
      <c r="AB15" s="28">
        <v>2772</v>
      </c>
      <c r="AC15" s="79">
        <f t="shared" si="6"/>
        <v>0.030713961038961</v>
      </c>
    </row>
    <row r="16" s="28" customFormat="1" ht="177.5" spans="1:29">
      <c r="A16" s="63">
        <v>7</v>
      </c>
      <c r="B16" s="63" t="s">
        <v>363</v>
      </c>
      <c r="C16" s="63" t="s">
        <v>364</v>
      </c>
      <c r="D16" s="63" t="s">
        <v>33</v>
      </c>
      <c r="E16" s="63" t="s">
        <v>37</v>
      </c>
      <c r="F16" s="63" t="s">
        <v>38</v>
      </c>
      <c r="G16" s="63" t="s">
        <v>827</v>
      </c>
      <c r="H16" s="64" t="s">
        <v>828</v>
      </c>
      <c r="I16" s="63" t="s">
        <v>41</v>
      </c>
      <c r="J16" s="63">
        <v>714.85</v>
      </c>
      <c r="K16" s="65">
        <f t="shared" ref="K16:K30" si="7">SUM(L16,T16,U16,V16)</f>
        <v>21.4455</v>
      </c>
      <c r="L16" s="65">
        <f t="shared" ref="L16:L30" si="8">SUM(M16:S16)</f>
        <v>21.4455</v>
      </c>
      <c r="M16" s="65"/>
      <c r="N16" s="65">
        <f>J16*0.03</f>
        <v>21.4455</v>
      </c>
      <c r="O16" s="65"/>
      <c r="P16" s="65"/>
      <c r="Q16" s="63"/>
      <c r="R16" s="63"/>
      <c r="S16" s="63"/>
      <c r="T16" s="63"/>
      <c r="U16" s="63"/>
      <c r="V16" s="63"/>
      <c r="W16" s="63" t="s">
        <v>815</v>
      </c>
      <c r="X16" s="63" t="s">
        <v>816</v>
      </c>
      <c r="Y16" s="63" t="s">
        <v>166</v>
      </c>
      <c r="Z16" s="63" t="s">
        <v>357</v>
      </c>
      <c r="AA16" s="80" t="s">
        <v>358</v>
      </c>
      <c r="AB16" s="28">
        <v>1137</v>
      </c>
      <c r="AC16" s="79">
        <f t="shared" ref="AC16:AC30" si="9">K16/AB16</f>
        <v>0.0188614775725594</v>
      </c>
    </row>
    <row r="17" s="28" customFormat="1" ht="364" customHeight="1" spans="1:29">
      <c r="A17" s="63">
        <v>8</v>
      </c>
      <c r="B17" s="63" t="s">
        <v>367</v>
      </c>
      <c r="C17" s="63" t="s">
        <v>368</v>
      </c>
      <c r="D17" s="63" t="s">
        <v>33</v>
      </c>
      <c r="E17" s="63" t="s">
        <v>37</v>
      </c>
      <c r="F17" s="63" t="s">
        <v>38</v>
      </c>
      <c r="G17" s="63" t="s">
        <v>829</v>
      </c>
      <c r="H17" s="64" t="s">
        <v>830</v>
      </c>
      <c r="I17" s="63" t="s">
        <v>41</v>
      </c>
      <c r="J17" s="63">
        <v>5856.12</v>
      </c>
      <c r="K17" s="65">
        <f t="shared" si="7"/>
        <v>585.612</v>
      </c>
      <c r="L17" s="65">
        <f t="shared" si="8"/>
        <v>585.612</v>
      </c>
      <c r="M17" s="65">
        <f>J17*0.1</f>
        <v>585.612</v>
      </c>
      <c r="N17" s="65"/>
      <c r="O17" s="65"/>
      <c r="P17" s="65"/>
      <c r="Q17" s="63"/>
      <c r="R17" s="63"/>
      <c r="S17" s="63"/>
      <c r="T17" s="63"/>
      <c r="U17" s="63"/>
      <c r="V17" s="63"/>
      <c r="W17" s="63" t="s">
        <v>815</v>
      </c>
      <c r="X17" s="63" t="s">
        <v>816</v>
      </c>
      <c r="Y17" s="63" t="s">
        <v>166</v>
      </c>
      <c r="Z17" s="63" t="s">
        <v>357</v>
      </c>
      <c r="AA17" s="80" t="s">
        <v>358</v>
      </c>
      <c r="AB17" s="28">
        <v>13744</v>
      </c>
      <c r="AC17" s="79">
        <f t="shared" si="9"/>
        <v>0.0426085564610012</v>
      </c>
    </row>
    <row r="18" s="28" customFormat="1" ht="392" customHeight="1" spans="1:29">
      <c r="A18" s="63">
        <v>9</v>
      </c>
      <c r="B18" s="63" t="s">
        <v>371</v>
      </c>
      <c r="C18" s="63" t="s">
        <v>372</v>
      </c>
      <c r="D18" s="63" t="s">
        <v>33</v>
      </c>
      <c r="E18" s="63" t="s">
        <v>211</v>
      </c>
      <c r="F18" s="63" t="s">
        <v>38</v>
      </c>
      <c r="G18" s="63" t="s">
        <v>831</v>
      </c>
      <c r="H18" s="64" t="s">
        <v>832</v>
      </c>
      <c r="I18" s="63" t="s">
        <v>375</v>
      </c>
      <c r="J18" s="63">
        <v>9895</v>
      </c>
      <c r="K18" s="65">
        <f t="shared" si="7"/>
        <v>3958</v>
      </c>
      <c r="L18" s="65">
        <f t="shared" si="8"/>
        <v>3958</v>
      </c>
      <c r="M18" s="65"/>
      <c r="N18" s="65">
        <f>J18*0.4</f>
        <v>3958</v>
      </c>
      <c r="O18" s="65"/>
      <c r="P18" s="65"/>
      <c r="Q18" s="63"/>
      <c r="R18" s="63"/>
      <c r="S18" s="63"/>
      <c r="T18" s="63"/>
      <c r="U18" s="63"/>
      <c r="V18" s="63"/>
      <c r="W18" s="63" t="s">
        <v>815</v>
      </c>
      <c r="X18" s="63" t="s">
        <v>816</v>
      </c>
      <c r="Y18" s="63" t="s">
        <v>376</v>
      </c>
      <c r="Z18" s="81" t="s">
        <v>377</v>
      </c>
      <c r="AA18" s="80" t="s">
        <v>378</v>
      </c>
      <c r="AB18" s="28">
        <v>5250</v>
      </c>
      <c r="AC18" s="79">
        <f t="shared" si="9"/>
        <v>0.753904761904762</v>
      </c>
    </row>
    <row r="19" s="28" customFormat="1" ht="394" customHeight="1" spans="1:29">
      <c r="A19" s="63">
        <v>10</v>
      </c>
      <c r="B19" s="63" t="s">
        <v>379</v>
      </c>
      <c r="C19" s="63" t="s">
        <v>380</v>
      </c>
      <c r="D19" s="63" t="s">
        <v>33</v>
      </c>
      <c r="E19" s="63" t="s">
        <v>211</v>
      </c>
      <c r="F19" s="63" t="s">
        <v>38</v>
      </c>
      <c r="G19" s="63" t="s">
        <v>833</v>
      </c>
      <c r="H19" s="64" t="s">
        <v>834</v>
      </c>
      <c r="I19" s="63" t="s">
        <v>383</v>
      </c>
      <c r="J19" s="63">
        <v>40067</v>
      </c>
      <c r="K19" s="65">
        <f t="shared" si="7"/>
        <v>1602.68</v>
      </c>
      <c r="L19" s="65">
        <f t="shared" si="8"/>
        <v>1602.68</v>
      </c>
      <c r="M19" s="65"/>
      <c r="N19" s="65">
        <f>J19*0.04</f>
        <v>1602.68</v>
      </c>
      <c r="O19" s="65"/>
      <c r="P19" s="65"/>
      <c r="Q19" s="63"/>
      <c r="R19" s="63"/>
      <c r="S19" s="63"/>
      <c r="T19" s="63"/>
      <c r="U19" s="63"/>
      <c r="V19" s="63"/>
      <c r="W19" s="63" t="s">
        <v>815</v>
      </c>
      <c r="X19" s="63" t="s">
        <v>816</v>
      </c>
      <c r="Y19" s="63" t="s">
        <v>376</v>
      </c>
      <c r="Z19" s="81" t="s">
        <v>377</v>
      </c>
      <c r="AA19" s="80" t="s">
        <v>378</v>
      </c>
      <c r="AB19" s="28">
        <v>6345</v>
      </c>
      <c r="AC19" s="79">
        <f t="shared" si="9"/>
        <v>0.252589440504334</v>
      </c>
    </row>
    <row r="20" s="28" customFormat="1" ht="409" customHeight="1" spans="1:29">
      <c r="A20" s="63">
        <v>11</v>
      </c>
      <c r="B20" s="63" t="s">
        <v>384</v>
      </c>
      <c r="C20" s="63" t="s">
        <v>385</v>
      </c>
      <c r="D20" s="63" t="s">
        <v>33</v>
      </c>
      <c r="E20" s="63" t="s">
        <v>211</v>
      </c>
      <c r="F20" s="63" t="s">
        <v>38</v>
      </c>
      <c r="G20" s="63" t="s">
        <v>835</v>
      </c>
      <c r="H20" s="64" t="s">
        <v>836</v>
      </c>
      <c r="I20" s="63" t="s">
        <v>375</v>
      </c>
      <c r="J20" s="63">
        <v>20247</v>
      </c>
      <c r="K20" s="65">
        <f t="shared" si="7"/>
        <v>6074.1</v>
      </c>
      <c r="L20" s="65">
        <f t="shared" si="8"/>
        <v>6074.1</v>
      </c>
      <c r="M20" s="65">
        <f>J20*0.3</f>
        <v>6074.1</v>
      </c>
      <c r="N20" s="65"/>
      <c r="O20" s="65"/>
      <c r="P20" s="65"/>
      <c r="Q20" s="63"/>
      <c r="R20" s="63"/>
      <c r="S20" s="63"/>
      <c r="T20" s="63"/>
      <c r="U20" s="63"/>
      <c r="V20" s="63"/>
      <c r="W20" s="63" t="s">
        <v>815</v>
      </c>
      <c r="X20" s="63" t="s">
        <v>816</v>
      </c>
      <c r="Y20" s="63" t="s">
        <v>376</v>
      </c>
      <c r="Z20" s="81" t="s">
        <v>377</v>
      </c>
      <c r="AA20" s="80" t="s">
        <v>378</v>
      </c>
      <c r="AB20" s="28">
        <v>12014</v>
      </c>
      <c r="AC20" s="79">
        <f t="shared" si="9"/>
        <v>0.505585150657566</v>
      </c>
    </row>
    <row r="21" s="28" customFormat="1" ht="409" customHeight="1" spans="1:29">
      <c r="A21" s="63">
        <v>12</v>
      </c>
      <c r="B21" s="63" t="s">
        <v>388</v>
      </c>
      <c r="C21" s="63" t="s">
        <v>389</v>
      </c>
      <c r="D21" s="63" t="s">
        <v>33</v>
      </c>
      <c r="E21" s="63" t="s">
        <v>211</v>
      </c>
      <c r="F21" s="63" t="s">
        <v>38</v>
      </c>
      <c r="G21" s="63" t="s">
        <v>835</v>
      </c>
      <c r="H21" s="64" t="s">
        <v>837</v>
      </c>
      <c r="I21" s="63" t="s">
        <v>383</v>
      </c>
      <c r="J21" s="63">
        <v>127088</v>
      </c>
      <c r="K21" s="65">
        <f t="shared" si="7"/>
        <v>3812.64</v>
      </c>
      <c r="L21" s="65">
        <f t="shared" si="8"/>
        <v>3812.64</v>
      </c>
      <c r="M21" s="65">
        <f>J21*0.03</f>
        <v>3812.64</v>
      </c>
      <c r="N21" s="65"/>
      <c r="O21" s="65"/>
      <c r="P21" s="65"/>
      <c r="Q21" s="63"/>
      <c r="R21" s="63"/>
      <c r="S21" s="63"/>
      <c r="T21" s="63"/>
      <c r="U21" s="63"/>
      <c r="V21" s="63"/>
      <c r="W21" s="63" t="s">
        <v>815</v>
      </c>
      <c r="X21" s="63" t="s">
        <v>816</v>
      </c>
      <c r="Y21" s="63" t="s">
        <v>376</v>
      </c>
      <c r="Z21" s="81" t="s">
        <v>377</v>
      </c>
      <c r="AA21" s="80" t="s">
        <v>378</v>
      </c>
      <c r="AB21" s="28">
        <v>18404</v>
      </c>
      <c r="AC21" s="79">
        <f t="shared" si="9"/>
        <v>0.207163660073897</v>
      </c>
    </row>
    <row r="22" s="28" customFormat="1" ht="331" customHeight="1" spans="1:29">
      <c r="A22" s="63">
        <v>13</v>
      </c>
      <c r="B22" s="63" t="s">
        <v>391</v>
      </c>
      <c r="C22" s="63" t="s">
        <v>392</v>
      </c>
      <c r="D22" s="63" t="s">
        <v>33</v>
      </c>
      <c r="E22" s="63" t="s">
        <v>211</v>
      </c>
      <c r="F22" s="63" t="s">
        <v>38</v>
      </c>
      <c r="G22" s="63" t="s">
        <v>838</v>
      </c>
      <c r="H22" s="64" t="s">
        <v>839</v>
      </c>
      <c r="I22" s="63" t="s">
        <v>395</v>
      </c>
      <c r="J22" s="63">
        <v>242830</v>
      </c>
      <c r="K22" s="65">
        <f t="shared" si="7"/>
        <v>242.83</v>
      </c>
      <c r="L22" s="65">
        <f t="shared" si="8"/>
        <v>242.83</v>
      </c>
      <c r="M22" s="65"/>
      <c r="N22" s="65">
        <f t="shared" ref="N22:N25" si="10">J22*0.001</f>
        <v>242.83</v>
      </c>
      <c r="O22" s="65"/>
      <c r="P22" s="65"/>
      <c r="Q22" s="63"/>
      <c r="R22" s="63"/>
      <c r="S22" s="63"/>
      <c r="T22" s="63"/>
      <c r="U22" s="63"/>
      <c r="V22" s="63"/>
      <c r="W22" s="63" t="s">
        <v>815</v>
      </c>
      <c r="X22" s="63" t="s">
        <v>816</v>
      </c>
      <c r="Y22" s="63" t="s">
        <v>376</v>
      </c>
      <c r="Z22" s="81" t="s">
        <v>377</v>
      </c>
      <c r="AA22" s="80" t="s">
        <v>358</v>
      </c>
      <c r="AB22" s="28">
        <v>4231</v>
      </c>
      <c r="AC22" s="79">
        <f t="shared" si="9"/>
        <v>0.0573930512881116</v>
      </c>
    </row>
    <row r="23" s="28" customFormat="1" ht="213" spans="1:29">
      <c r="A23" s="63">
        <v>14</v>
      </c>
      <c r="B23" s="63" t="s">
        <v>396</v>
      </c>
      <c r="C23" s="63" t="s">
        <v>397</v>
      </c>
      <c r="D23" s="63" t="s">
        <v>33</v>
      </c>
      <c r="E23" s="63" t="s">
        <v>211</v>
      </c>
      <c r="F23" s="63" t="s">
        <v>38</v>
      </c>
      <c r="G23" s="63" t="s">
        <v>840</v>
      </c>
      <c r="H23" s="64" t="s">
        <v>841</v>
      </c>
      <c r="I23" s="63" t="s">
        <v>395</v>
      </c>
      <c r="J23" s="63">
        <v>53479</v>
      </c>
      <c r="K23" s="65">
        <f t="shared" si="7"/>
        <v>53.479</v>
      </c>
      <c r="L23" s="65">
        <f t="shared" si="8"/>
        <v>53.479</v>
      </c>
      <c r="M23" s="65"/>
      <c r="N23" s="65">
        <f t="shared" si="10"/>
        <v>53.479</v>
      </c>
      <c r="O23" s="65"/>
      <c r="P23" s="65"/>
      <c r="Q23" s="63"/>
      <c r="R23" s="63"/>
      <c r="S23" s="63"/>
      <c r="T23" s="63"/>
      <c r="U23" s="63"/>
      <c r="V23" s="63"/>
      <c r="W23" s="63" t="s">
        <v>815</v>
      </c>
      <c r="X23" s="63" t="s">
        <v>816</v>
      </c>
      <c r="Y23" s="63" t="s">
        <v>376</v>
      </c>
      <c r="Z23" s="81" t="s">
        <v>377</v>
      </c>
      <c r="AA23" s="80" t="s">
        <v>358</v>
      </c>
      <c r="AB23" s="28">
        <v>1007</v>
      </c>
      <c r="AC23" s="79">
        <f t="shared" si="9"/>
        <v>0.0531072492552135</v>
      </c>
    </row>
    <row r="24" s="28" customFormat="1" ht="248.5" spans="1:29">
      <c r="A24" s="63">
        <v>15</v>
      </c>
      <c r="B24" s="63" t="s">
        <v>400</v>
      </c>
      <c r="C24" s="63" t="s">
        <v>401</v>
      </c>
      <c r="D24" s="63" t="s">
        <v>33</v>
      </c>
      <c r="E24" s="63" t="s">
        <v>211</v>
      </c>
      <c r="F24" s="63" t="s">
        <v>38</v>
      </c>
      <c r="G24" s="63" t="s">
        <v>842</v>
      </c>
      <c r="H24" s="64" t="s">
        <v>843</v>
      </c>
      <c r="I24" s="63" t="s">
        <v>395</v>
      </c>
      <c r="J24" s="63">
        <v>47848</v>
      </c>
      <c r="K24" s="65">
        <f t="shared" si="7"/>
        <v>47.848</v>
      </c>
      <c r="L24" s="65">
        <f t="shared" si="8"/>
        <v>47.848</v>
      </c>
      <c r="M24" s="65"/>
      <c r="N24" s="65">
        <f t="shared" si="10"/>
        <v>47.848</v>
      </c>
      <c r="O24" s="65"/>
      <c r="P24" s="65"/>
      <c r="Q24" s="63"/>
      <c r="R24" s="63"/>
      <c r="S24" s="63"/>
      <c r="T24" s="63"/>
      <c r="U24" s="63"/>
      <c r="V24" s="63"/>
      <c r="W24" s="63" t="s">
        <v>815</v>
      </c>
      <c r="X24" s="63" t="s">
        <v>816</v>
      </c>
      <c r="Y24" s="63" t="s">
        <v>376</v>
      </c>
      <c r="Z24" s="81" t="s">
        <v>377</v>
      </c>
      <c r="AA24" s="80" t="s">
        <v>358</v>
      </c>
      <c r="AB24" s="28">
        <v>973</v>
      </c>
      <c r="AC24" s="79">
        <f t="shared" si="9"/>
        <v>0.0491757451181912</v>
      </c>
    </row>
    <row r="25" s="28" customFormat="1" ht="248.5" spans="1:29">
      <c r="A25" s="63">
        <v>16</v>
      </c>
      <c r="B25" s="63" t="s">
        <v>404</v>
      </c>
      <c r="C25" s="63" t="s">
        <v>405</v>
      </c>
      <c r="D25" s="63" t="s">
        <v>33</v>
      </c>
      <c r="E25" s="63" t="s">
        <v>211</v>
      </c>
      <c r="F25" s="63" t="s">
        <v>38</v>
      </c>
      <c r="G25" s="63" t="s">
        <v>844</v>
      </c>
      <c r="H25" s="64" t="s">
        <v>845</v>
      </c>
      <c r="I25" s="63" t="s">
        <v>395</v>
      </c>
      <c r="J25" s="63">
        <v>163792</v>
      </c>
      <c r="K25" s="65">
        <f t="shared" si="7"/>
        <v>163.792</v>
      </c>
      <c r="L25" s="65">
        <f t="shared" si="8"/>
        <v>163.792</v>
      </c>
      <c r="M25" s="65"/>
      <c r="N25" s="65">
        <f t="shared" si="10"/>
        <v>163.792</v>
      </c>
      <c r="O25" s="65"/>
      <c r="P25" s="65"/>
      <c r="Q25" s="63"/>
      <c r="R25" s="63"/>
      <c r="S25" s="63"/>
      <c r="T25" s="63"/>
      <c r="U25" s="63"/>
      <c r="V25" s="63"/>
      <c r="W25" s="63" t="s">
        <v>815</v>
      </c>
      <c r="X25" s="63" t="s">
        <v>816</v>
      </c>
      <c r="Y25" s="63" t="s">
        <v>376</v>
      </c>
      <c r="Z25" s="81" t="s">
        <v>377</v>
      </c>
      <c r="AA25" s="80" t="s">
        <v>358</v>
      </c>
      <c r="AB25" s="28">
        <v>1389</v>
      </c>
      <c r="AC25" s="79">
        <f t="shared" si="9"/>
        <v>0.117920806335493</v>
      </c>
    </row>
    <row r="26" s="28" customFormat="1" ht="238" customHeight="1" spans="1:29">
      <c r="A26" s="63">
        <v>17</v>
      </c>
      <c r="B26" s="63" t="s">
        <v>408</v>
      </c>
      <c r="C26" s="63" t="s">
        <v>409</v>
      </c>
      <c r="D26" s="63" t="s">
        <v>33</v>
      </c>
      <c r="E26" s="63" t="s">
        <v>211</v>
      </c>
      <c r="F26" s="63" t="s">
        <v>38</v>
      </c>
      <c r="G26" s="63" t="s">
        <v>846</v>
      </c>
      <c r="H26" s="64" t="s">
        <v>847</v>
      </c>
      <c r="I26" s="63" t="s">
        <v>165</v>
      </c>
      <c r="J26" s="63">
        <v>281</v>
      </c>
      <c r="K26" s="65">
        <f t="shared" si="7"/>
        <v>28.1</v>
      </c>
      <c r="L26" s="65">
        <f t="shared" si="8"/>
        <v>28.1</v>
      </c>
      <c r="M26" s="65"/>
      <c r="N26" s="65">
        <f t="shared" ref="N26:N28" si="11">J26*0.1</f>
        <v>28.1</v>
      </c>
      <c r="O26" s="65"/>
      <c r="P26" s="65"/>
      <c r="Q26" s="63"/>
      <c r="R26" s="63"/>
      <c r="S26" s="63"/>
      <c r="T26" s="63"/>
      <c r="U26" s="63"/>
      <c r="V26" s="63"/>
      <c r="W26" s="63" t="s">
        <v>815</v>
      </c>
      <c r="X26" s="63" t="s">
        <v>816</v>
      </c>
      <c r="Y26" s="63" t="s">
        <v>376</v>
      </c>
      <c r="Z26" s="81" t="s">
        <v>377</v>
      </c>
      <c r="AA26" s="80" t="s">
        <v>378</v>
      </c>
      <c r="AB26" s="28">
        <v>286</v>
      </c>
      <c r="AC26" s="79">
        <f t="shared" si="9"/>
        <v>0.0982517482517483</v>
      </c>
    </row>
    <row r="27" s="28" customFormat="1" ht="272" customHeight="1" spans="1:29">
      <c r="A27" s="63">
        <v>18</v>
      </c>
      <c r="B27" s="63" t="s">
        <v>412</v>
      </c>
      <c r="C27" s="63" t="s">
        <v>413</v>
      </c>
      <c r="D27" s="63" t="s">
        <v>33</v>
      </c>
      <c r="E27" s="63" t="s">
        <v>211</v>
      </c>
      <c r="F27" s="63" t="s">
        <v>38</v>
      </c>
      <c r="G27" s="63" t="s">
        <v>848</v>
      </c>
      <c r="H27" s="64" t="s">
        <v>849</v>
      </c>
      <c r="I27" s="63" t="s">
        <v>165</v>
      </c>
      <c r="J27" s="63">
        <v>317</v>
      </c>
      <c r="K27" s="65">
        <f t="shared" si="7"/>
        <v>31.7</v>
      </c>
      <c r="L27" s="65">
        <f t="shared" si="8"/>
        <v>31.7</v>
      </c>
      <c r="M27" s="65"/>
      <c r="N27" s="65">
        <f t="shared" si="11"/>
        <v>31.7</v>
      </c>
      <c r="O27" s="65"/>
      <c r="P27" s="65"/>
      <c r="Q27" s="63"/>
      <c r="R27" s="63"/>
      <c r="S27" s="63"/>
      <c r="T27" s="63"/>
      <c r="U27" s="63"/>
      <c r="V27" s="63"/>
      <c r="W27" s="63" t="s">
        <v>815</v>
      </c>
      <c r="X27" s="63" t="s">
        <v>816</v>
      </c>
      <c r="Y27" s="63" t="s">
        <v>376</v>
      </c>
      <c r="Z27" s="81" t="s">
        <v>377</v>
      </c>
      <c r="AA27" s="80" t="s">
        <v>378</v>
      </c>
      <c r="AB27" s="28">
        <v>143</v>
      </c>
      <c r="AC27" s="79">
        <f t="shared" si="9"/>
        <v>0.221678321678322</v>
      </c>
    </row>
    <row r="28" s="28" customFormat="1" ht="262" customHeight="1" spans="1:29">
      <c r="A28" s="63">
        <v>19</v>
      </c>
      <c r="B28" s="63" t="s">
        <v>416</v>
      </c>
      <c r="C28" s="63" t="s">
        <v>417</v>
      </c>
      <c r="D28" s="63" t="s">
        <v>33</v>
      </c>
      <c r="E28" s="63" t="s">
        <v>211</v>
      </c>
      <c r="F28" s="63" t="s">
        <v>38</v>
      </c>
      <c r="G28" s="63" t="s">
        <v>850</v>
      </c>
      <c r="H28" s="64" t="s">
        <v>851</v>
      </c>
      <c r="I28" s="63" t="s">
        <v>165</v>
      </c>
      <c r="J28" s="63">
        <v>2826</v>
      </c>
      <c r="K28" s="65">
        <f t="shared" si="7"/>
        <v>282.6</v>
      </c>
      <c r="L28" s="65">
        <f t="shared" si="8"/>
        <v>282.6</v>
      </c>
      <c r="M28" s="65"/>
      <c r="N28" s="65">
        <f t="shared" si="11"/>
        <v>282.6</v>
      </c>
      <c r="O28" s="65"/>
      <c r="P28" s="65"/>
      <c r="Q28" s="63"/>
      <c r="R28" s="63"/>
      <c r="S28" s="63"/>
      <c r="T28" s="63"/>
      <c r="U28" s="63"/>
      <c r="V28" s="63"/>
      <c r="W28" s="63" t="s">
        <v>815</v>
      </c>
      <c r="X28" s="63" t="s">
        <v>816</v>
      </c>
      <c r="Y28" s="63" t="s">
        <v>376</v>
      </c>
      <c r="Z28" s="81" t="s">
        <v>377</v>
      </c>
      <c r="AA28" s="80" t="s">
        <v>378</v>
      </c>
      <c r="AB28" s="28">
        <v>2359</v>
      </c>
      <c r="AC28" s="79">
        <f t="shared" si="9"/>
        <v>0.119796523950827</v>
      </c>
    </row>
    <row r="29" s="28" customFormat="1" ht="177.5" spans="1:29">
      <c r="A29" s="63">
        <v>20</v>
      </c>
      <c r="B29" s="63"/>
      <c r="C29" s="63" t="s">
        <v>852</v>
      </c>
      <c r="D29" s="63" t="s">
        <v>33</v>
      </c>
      <c r="E29" s="63" t="s">
        <v>138</v>
      </c>
      <c r="F29" s="63" t="s">
        <v>38</v>
      </c>
      <c r="G29" s="63" t="s">
        <v>853</v>
      </c>
      <c r="H29" s="64" t="s">
        <v>854</v>
      </c>
      <c r="I29" s="63" t="s">
        <v>855</v>
      </c>
      <c r="J29" s="63">
        <v>1644</v>
      </c>
      <c r="K29" s="65">
        <f t="shared" si="7"/>
        <v>65.76</v>
      </c>
      <c r="L29" s="65">
        <f t="shared" si="8"/>
        <v>65.76</v>
      </c>
      <c r="M29" s="65"/>
      <c r="N29" s="65">
        <f>J29*0.04</f>
        <v>65.76</v>
      </c>
      <c r="O29" s="65"/>
      <c r="P29" s="65"/>
      <c r="Q29" s="63"/>
      <c r="R29" s="63"/>
      <c r="S29" s="63"/>
      <c r="T29" s="63"/>
      <c r="U29" s="63"/>
      <c r="V29" s="63"/>
      <c r="W29" s="63" t="s">
        <v>815</v>
      </c>
      <c r="X29" s="63" t="s">
        <v>816</v>
      </c>
      <c r="Y29" s="63" t="s">
        <v>311</v>
      </c>
      <c r="Z29" s="81" t="s">
        <v>312</v>
      </c>
      <c r="AA29" s="80" t="s">
        <v>336</v>
      </c>
      <c r="AC29" s="79"/>
    </row>
    <row r="30" s="27" customFormat="1" ht="71" spans="1:29">
      <c r="A30" s="63">
        <v>21</v>
      </c>
      <c r="B30" s="63" t="s">
        <v>35</v>
      </c>
      <c r="C30" s="63" t="s">
        <v>429</v>
      </c>
      <c r="D30" s="63" t="s">
        <v>33</v>
      </c>
      <c r="E30" s="63" t="s">
        <v>430</v>
      </c>
      <c r="F30" s="82" t="s">
        <v>38</v>
      </c>
      <c r="G30" s="82" t="s">
        <v>856</v>
      </c>
      <c r="H30" s="83" t="s">
        <v>431</v>
      </c>
      <c r="I30" s="82" t="s">
        <v>432</v>
      </c>
      <c r="J30" s="82">
        <f>32673+10185</f>
        <v>42858</v>
      </c>
      <c r="K30" s="65">
        <f t="shared" si="7"/>
        <v>1000</v>
      </c>
      <c r="L30" s="65">
        <f t="shared" si="8"/>
        <v>1000</v>
      </c>
      <c r="M30" s="84">
        <v>1000</v>
      </c>
      <c r="N30" s="84"/>
      <c r="O30" s="84"/>
      <c r="P30" s="84"/>
      <c r="Q30" s="82"/>
      <c r="R30" s="82"/>
      <c r="S30" s="82"/>
      <c r="T30" s="82"/>
      <c r="U30" s="82"/>
      <c r="V30" s="82"/>
      <c r="W30" s="82" t="s">
        <v>161</v>
      </c>
      <c r="X30" s="85" t="s">
        <v>433</v>
      </c>
      <c r="Y30" s="82" t="s">
        <v>161</v>
      </c>
      <c r="Z30" s="85" t="s">
        <v>433</v>
      </c>
      <c r="AA30" s="63"/>
      <c r="AB30" s="28">
        <f>32673+10185</f>
        <v>42858</v>
      </c>
      <c r="AC30" s="79">
        <f>K30/AB30</f>
        <v>0.0233328666759998</v>
      </c>
    </row>
    <row r="31" s="26" customFormat="1" ht="35.5" spans="1:29">
      <c r="A31" s="57" t="s">
        <v>434</v>
      </c>
      <c r="B31" s="57"/>
      <c r="C31" s="57"/>
      <c r="D31" s="58"/>
      <c r="E31" s="59"/>
      <c r="F31" s="59"/>
      <c r="G31" s="59"/>
      <c r="H31" s="59">
        <v>27</v>
      </c>
      <c r="I31" s="60"/>
      <c r="J31" s="60"/>
      <c r="K31" s="61">
        <f>SUM(K32:K56)</f>
        <v>9648.5</v>
      </c>
      <c r="L31" s="61">
        <f t="shared" ref="L31:V31" si="12">SUM(L32:L56)</f>
        <v>9486.62</v>
      </c>
      <c r="M31" s="61">
        <f t="shared" si="12"/>
        <v>9486.62</v>
      </c>
      <c r="N31" s="61">
        <f t="shared" si="12"/>
        <v>0</v>
      </c>
      <c r="O31" s="61">
        <f t="shared" si="12"/>
        <v>0</v>
      </c>
      <c r="P31" s="61">
        <f t="shared" si="12"/>
        <v>0</v>
      </c>
      <c r="Q31" s="61">
        <f t="shared" si="12"/>
        <v>0</v>
      </c>
      <c r="R31" s="61">
        <f t="shared" si="12"/>
        <v>0</v>
      </c>
      <c r="S31" s="61">
        <f t="shared" si="12"/>
        <v>0</v>
      </c>
      <c r="T31" s="61">
        <f t="shared" si="12"/>
        <v>0</v>
      </c>
      <c r="U31" s="61">
        <f t="shared" si="12"/>
        <v>161.88</v>
      </c>
      <c r="V31" s="61">
        <f t="shared" si="12"/>
        <v>0</v>
      </c>
      <c r="W31" s="59"/>
      <c r="X31" s="59"/>
      <c r="Y31" s="62"/>
      <c r="Z31" s="62"/>
      <c r="AA31" s="62"/>
    </row>
    <row r="32" s="27" customFormat="1" ht="106.5" spans="1:29">
      <c r="A32" s="63">
        <v>22</v>
      </c>
      <c r="B32" s="63" t="s">
        <v>435</v>
      </c>
      <c r="C32" s="63" t="s">
        <v>36</v>
      </c>
      <c r="D32" s="63" t="s">
        <v>33</v>
      </c>
      <c r="E32" s="63" t="s">
        <v>37</v>
      </c>
      <c r="F32" s="63" t="s">
        <v>38</v>
      </c>
      <c r="G32" s="63" t="s">
        <v>857</v>
      </c>
      <c r="H32" s="64" t="s">
        <v>858</v>
      </c>
      <c r="I32" s="63" t="s">
        <v>41</v>
      </c>
      <c r="J32" s="63">
        <v>2200</v>
      </c>
      <c r="K32" s="65">
        <f t="shared" ref="K32:K59" si="13">SUM(L32,T32,U32,V32)</f>
        <v>396</v>
      </c>
      <c r="L32" s="65">
        <f t="shared" ref="L32:L59" si="14">SUM(M32:S32)</f>
        <v>396</v>
      </c>
      <c r="M32" s="65">
        <f t="shared" ref="M32:M47" si="15">J32*0.18</f>
        <v>396</v>
      </c>
      <c r="N32" s="65"/>
      <c r="O32" s="65"/>
      <c r="P32" s="65"/>
      <c r="Q32" s="63"/>
      <c r="R32" s="63"/>
      <c r="S32" s="63"/>
      <c r="T32" s="63"/>
      <c r="U32" s="63"/>
      <c r="V32" s="63"/>
      <c r="W32" s="63" t="s">
        <v>42</v>
      </c>
      <c r="X32" s="63" t="s">
        <v>43</v>
      </c>
      <c r="Y32" s="63" t="s">
        <v>44</v>
      </c>
      <c r="Z32" s="63" t="s">
        <v>45</v>
      </c>
      <c r="AA32" s="63"/>
      <c r="AB32" s="28"/>
      <c r="AC32" s="28"/>
    </row>
    <row r="33" s="27" customFormat="1" ht="106.5" spans="1:29">
      <c r="A33" s="63">
        <v>23</v>
      </c>
      <c r="B33" s="63" t="s">
        <v>46</v>
      </c>
      <c r="C33" s="63" t="s">
        <v>437</v>
      </c>
      <c r="D33" s="63" t="s">
        <v>33</v>
      </c>
      <c r="E33" s="63" t="s">
        <v>37</v>
      </c>
      <c r="F33" s="63" t="s">
        <v>38</v>
      </c>
      <c r="G33" s="63" t="s">
        <v>859</v>
      </c>
      <c r="H33" s="64" t="s">
        <v>860</v>
      </c>
      <c r="I33" s="63" t="s">
        <v>41</v>
      </c>
      <c r="J33" s="63">
        <v>2045</v>
      </c>
      <c r="K33" s="65">
        <f t="shared" si="13"/>
        <v>368</v>
      </c>
      <c r="L33" s="65">
        <f t="shared" si="14"/>
        <v>368</v>
      </c>
      <c r="M33" s="65">
        <v>368</v>
      </c>
      <c r="N33" s="65"/>
      <c r="O33" s="65"/>
      <c r="P33" s="65"/>
      <c r="Q33" s="63"/>
      <c r="R33" s="63"/>
      <c r="S33" s="63"/>
      <c r="T33" s="63"/>
      <c r="U33" s="63"/>
      <c r="V33" s="63"/>
      <c r="W33" s="63" t="s">
        <v>190</v>
      </c>
      <c r="X33" s="63" t="s">
        <v>191</v>
      </c>
      <c r="Y33" s="63" t="s">
        <v>44</v>
      </c>
      <c r="Z33" s="63" t="s">
        <v>45</v>
      </c>
      <c r="AA33" s="63"/>
      <c r="AB33" s="28"/>
      <c r="AC33" s="28"/>
    </row>
    <row r="34" s="27" customFormat="1" ht="106.5" spans="1:29">
      <c r="A34" s="63">
        <v>24</v>
      </c>
      <c r="B34" s="63" t="s">
        <v>51</v>
      </c>
      <c r="C34" s="63" t="s">
        <v>47</v>
      </c>
      <c r="D34" s="63" t="s">
        <v>33</v>
      </c>
      <c r="E34" s="63" t="s">
        <v>37</v>
      </c>
      <c r="F34" s="63" t="s">
        <v>38</v>
      </c>
      <c r="G34" s="63" t="s">
        <v>861</v>
      </c>
      <c r="H34" s="64" t="s">
        <v>862</v>
      </c>
      <c r="I34" s="63" t="s">
        <v>41</v>
      </c>
      <c r="J34" s="63">
        <v>1600</v>
      </c>
      <c r="K34" s="65">
        <f t="shared" si="13"/>
        <v>288</v>
      </c>
      <c r="L34" s="65">
        <f t="shared" si="14"/>
        <v>126.12</v>
      </c>
      <c r="M34" s="65">
        <f>J34*0.18-U34</f>
        <v>126.12</v>
      </c>
      <c r="N34" s="65"/>
      <c r="O34" s="65"/>
      <c r="P34" s="65"/>
      <c r="Q34" s="63"/>
      <c r="R34" s="63"/>
      <c r="S34" s="63"/>
      <c r="T34" s="63"/>
      <c r="U34" s="63">
        <f>94.88+67</f>
        <v>161.88</v>
      </c>
      <c r="V34" s="63"/>
      <c r="W34" s="63" t="s">
        <v>48</v>
      </c>
      <c r="X34" s="63" t="s">
        <v>50</v>
      </c>
      <c r="Y34" s="63" t="s">
        <v>44</v>
      </c>
      <c r="Z34" s="63" t="s">
        <v>45</v>
      </c>
      <c r="AA34" s="63"/>
      <c r="AB34" s="28"/>
      <c r="AC34" s="28"/>
    </row>
    <row r="35" s="27" customFormat="1" ht="106.5" spans="1:29">
      <c r="A35" s="63">
        <v>25</v>
      </c>
      <c r="B35" s="63" t="s">
        <v>440</v>
      </c>
      <c r="C35" s="63" t="s">
        <v>52</v>
      </c>
      <c r="D35" s="63" t="s">
        <v>33</v>
      </c>
      <c r="E35" s="63" t="s">
        <v>37</v>
      </c>
      <c r="F35" s="63" t="s">
        <v>38</v>
      </c>
      <c r="G35" s="63" t="s">
        <v>53</v>
      </c>
      <c r="H35" s="64" t="s">
        <v>863</v>
      </c>
      <c r="I35" s="63" t="s">
        <v>41</v>
      </c>
      <c r="J35" s="63">
        <v>2260</v>
      </c>
      <c r="K35" s="65">
        <f t="shared" si="13"/>
        <v>398</v>
      </c>
      <c r="L35" s="65">
        <f t="shared" si="14"/>
        <v>398</v>
      </c>
      <c r="M35" s="65">
        <v>398</v>
      </c>
      <c r="N35" s="65"/>
      <c r="O35" s="65"/>
      <c r="P35" s="65"/>
      <c r="Q35" s="63"/>
      <c r="R35" s="63"/>
      <c r="S35" s="63"/>
      <c r="T35" s="63"/>
      <c r="U35" s="63"/>
      <c r="V35" s="63"/>
      <c r="W35" s="63" t="s">
        <v>53</v>
      </c>
      <c r="X35" s="63" t="s">
        <v>864</v>
      </c>
      <c r="Y35" s="63" t="s">
        <v>44</v>
      </c>
      <c r="Z35" s="63" t="s">
        <v>45</v>
      </c>
      <c r="AA35" s="63"/>
      <c r="AB35" s="28"/>
      <c r="AC35" s="28"/>
    </row>
    <row r="36" s="27" customFormat="1" ht="106.5" spans="1:29">
      <c r="A36" s="63">
        <v>26</v>
      </c>
      <c r="B36" s="63" t="s">
        <v>126</v>
      </c>
      <c r="C36" s="63" t="s">
        <v>442</v>
      </c>
      <c r="D36" s="63" t="s">
        <v>33</v>
      </c>
      <c r="E36" s="63" t="s">
        <v>37</v>
      </c>
      <c r="F36" s="63" t="s">
        <v>38</v>
      </c>
      <c r="G36" s="63" t="s">
        <v>865</v>
      </c>
      <c r="H36" s="64" t="s">
        <v>866</v>
      </c>
      <c r="I36" s="63" t="s">
        <v>41</v>
      </c>
      <c r="J36" s="63">
        <v>1788</v>
      </c>
      <c r="K36" s="65">
        <f t="shared" si="13"/>
        <v>320</v>
      </c>
      <c r="L36" s="65">
        <f t="shared" si="14"/>
        <v>320</v>
      </c>
      <c r="M36" s="65">
        <v>320</v>
      </c>
      <c r="N36" s="65"/>
      <c r="O36" s="65"/>
      <c r="P36" s="65"/>
      <c r="Q36" s="63"/>
      <c r="R36" s="63"/>
      <c r="S36" s="63"/>
      <c r="T36" s="63"/>
      <c r="U36" s="63"/>
      <c r="V36" s="63"/>
      <c r="W36" s="63" t="s">
        <v>173</v>
      </c>
      <c r="X36" s="63" t="s">
        <v>174</v>
      </c>
      <c r="Y36" s="63" t="s">
        <v>44</v>
      </c>
      <c r="Z36" s="63" t="s">
        <v>45</v>
      </c>
      <c r="AA36" s="63"/>
      <c r="AB36" s="28"/>
      <c r="AC36" s="28"/>
    </row>
    <row r="37" s="27" customFormat="1" ht="106.5" spans="1:29">
      <c r="A37" s="63">
        <v>27</v>
      </c>
      <c r="B37" s="63" t="s">
        <v>56</v>
      </c>
      <c r="C37" s="63" t="s">
        <v>127</v>
      </c>
      <c r="D37" s="63" t="s">
        <v>33</v>
      </c>
      <c r="E37" s="63" t="s">
        <v>37</v>
      </c>
      <c r="F37" s="63" t="s">
        <v>38</v>
      </c>
      <c r="G37" s="63" t="s">
        <v>130</v>
      </c>
      <c r="H37" s="64" t="s">
        <v>444</v>
      </c>
      <c r="I37" s="63" t="s">
        <v>41</v>
      </c>
      <c r="J37" s="63">
        <v>1500</v>
      </c>
      <c r="K37" s="65">
        <f t="shared" si="13"/>
        <v>270</v>
      </c>
      <c r="L37" s="65">
        <f t="shared" si="14"/>
        <v>270</v>
      </c>
      <c r="M37" s="65">
        <f t="shared" si="15"/>
        <v>270</v>
      </c>
      <c r="N37" s="65"/>
      <c r="O37" s="65"/>
      <c r="P37" s="65"/>
      <c r="Q37" s="63"/>
      <c r="R37" s="63"/>
      <c r="S37" s="63"/>
      <c r="T37" s="63"/>
      <c r="U37" s="63"/>
      <c r="V37" s="63"/>
      <c r="W37" s="63" t="s">
        <v>130</v>
      </c>
      <c r="X37" s="63" t="s">
        <v>867</v>
      </c>
      <c r="Y37" s="63" t="s">
        <v>44</v>
      </c>
      <c r="Z37" s="63" t="s">
        <v>45</v>
      </c>
      <c r="AA37" s="63"/>
      <c r="AB37" s="28"/>
      <c r="AC37" s="28"/>
    </row>
    <row r="38" s="27" customFormat="1" ht="106.5" spans="1:29">
      <c r="A38" s="63">
        <v>28</v>
      </c>
      <c r="B38" s="63" t="s">
        <v>61</v>
      </c>
      <c r="C38" s="63" t="s">
        <v>57</v>
      </c>
      <c r="D38" s="63" t="s">
        <v>33</v>
      </c>
      <c r="E38" s="63" t="s">
        <v>37</v>
      </c>
      <c r="F38" s="63" t="s">
        <v>38</v>
      </c>
      <c r="G38" s="63" t="s">
        <v>58</v>
      </c>
      <c r="H38" s="64" t="s">
        <v>858</v>
      </c>
      <c r="I38" s="63" t="s">
        <v>41</v>
      </c>
      <c r="J38" s="63">
        <v>2200</v>
      </c>
      <c r="K38" s="65">
        <f t="shared" si="13"/>
        <v>396</v>
      </c>
      <c r="L38" s="65">
        <f t="shared" si="14"/>
        <v>396</v>
      </c>
      <c r="M38" s="65">
        <f t="shared" si="15"/>
        <v>396</v>
      </c>
      <c r="N38" s="65"/>
      <c r="O38" s="65"/>
      <c r="P38" s="65"/>
      <c r="Q38" s="63"/>
      <c r="R38" s="63"/>
      <c r="S38" s="63"/>
      <c r="T38" s="63"/>
      <c r="U38" s="63"/>
      <c r="V38" s="63"/>
      <c r="W38" s="63" t="s">
        <v>58</v>
      </c>
      <c r="X38" s="63" t="s">
        <v>60</v>
      </c>
      <c r="Y38" s="63" t="s">
        <v>44</v>
      </c>
      <c r="Z38" s="63" t="s">
        <v>45</v>
      </c>
      <c r="AA38" s="63"/>
      <c r="AB38" s="28"/>
      <c r="AC38" s="28"/>
    </row>
    <row r="39" s="27" customFormat="1" ht="106.5" spans="1:29">
      <c r="A39" s="63">
        <v>29</v>
      </c>
      <c r="B39" s="63" t="s">
        <v>66</v>
      </c>
      <c r="C39" s="63" t="s">
        <v>62</v>
      </c>
      <c r="D39" s="63" t="s">
        <v>33</v>
      </c>
      <c r="E39" s="63" t="s">
        <v>37</v>
      </c>
      <c r="F39" s="63" t="s">
        <v>38</v>
      </c>
      <c r="G39" s="63" t="s">
        <v>63</v>
      </c>
      <c r="H39" s="64" t="s">
        <v>858</v>
      </c>
      <c r="I39" s="63" t="s">
        <v>41</v>
      </c>
      <c r="J39" s="63">
        <v>2200</v>
      </c>
      <c r="K39" s="65">
        <f t="shared" si="13"/>
        <v>396</v>
      </c>
      <c r="L39" s="65">
        <f t="shared" si="14"/>
        <v>396</v>
      </c>
      <c r="M39" s="65">
        <f t="shared" si="15"/>
        <v>396</v>
      </c>
      <c r="N39" s="65"/>
      <c r="O39" s="65"/>
      <c r="P39" s="65"/>
      <c r="Q39" s="63"/>
      <c r="R39" s="63"/>
      <c r="S39" s="63"/>
      <c r="T39" s="63"/>
      <c r="U39" s="63"/>
      <c r="V39" s="63"/>
      <c r="W39" s="63" t="s">
        <v>63</v>
      </c>
      <c r="X39" s="63" t="s">
        <v>65</v>
      </c>
      <c r="Y39" s="63" t="s">
        <v>44</v>
      </c>
      <c r="Z39" s="63" t="s">
        <v>45</v>
      </c>
      <c r="AA39" s="63"/>
      <c r="AB39" s="28"/>
      <c r="AC39" s="28"/>
    </row>
    <row r="40" s="27" customFormat="1" ht="106.5" spans="1:29">
      <c r="A40" s="63">
        <v>30</v>
      </c>
      <c r="B40" s="63" t="s">
        <v>71</v>
      </c>
      <c r="C40" s="63" t="s">
        <v>67</v>
      </c>
      <c r="D40" s="63" t="s">
        <v>33</v>
      </c>
      <c r="E40" s="63" t="s">
        <v>37</v>
      </c>
      <c r="F40" s="63" t="s">
        <v>38</v>
      </c>
      <c r="G40" s="63" t="s">
        <v>868</v>
      </c>
      <c r="H40" s="64" t="s">
        <v>858</v>
      </c>
      <c r="I40" s="63" t="s">
        <v>41</v>
      </c>
      <c r="J40" s="63">
        <v>2200</v>
      </c>
      <c r="K40" s="65">
        <f t="shared" si="13"/>
        <v>396</v>
      </c>
      <c r="L40" s="65">
        <f t="shared" si="14"/>
        <v>396</v>
      </c>
      <c r="M40" s="65">
        <f t="shared" si="15"/>
        <v>396</v>
      </c>
      <c r="N40" s="65"/>
      <c r="O40" s="65"/>
      <c r="P40" s="65"/>
      <c r="Q40" s="63"/>
      <c r="R40" s="63"/>
      <c r="S40" s="63"/>
      <c r="T40" s="63"/>
      <c r="U40" s="63"/>
      <c r="V40" s="63"/>
      <c r="W40" s="63" t="s">
        <v>69</v>
      </c>
      <c r="X40" s="63" t="s">
        <v>115</v>
      </c>
      <c r="Y40" s="63" t="s">
        <v>44</v>
      </c>
      <c r="Z40" s="63" t="s">
        <v>45</v>
      </c>
      <c r="AA40" s="63"/>
      <c r="AB40" s="28"/>
      <c r="AC40" s="28"/>
    </row>
    <row r="41" s="27" customFormat="1" ht="106.5" spans="1:29">
      <c r="A41" s="63">
        <v>31</v>
      </c>
      <c r="B41" s="63" t="s">
        <v>75</v>
      </c>
      <c r="C41" s="63" t="s">
        <v>72</v>
      </c>
      <c r="D41" s="63" t="s">
        <v>33</v>
      </c>
      <c r="E41" s="63" t="s">
        <v>37</v>
      </c>
      <c r="F41" s="63" t="s">
        <v>38</v>
      </c>
      <c r="G41" s="63" t="s">
        <v>73</v>
      </c>
      <c r="H41" s="64" t="s">
        <v>858</v>
      </c>
      <c r="I41" s="63" t="s">
        <v>41</v>
      </c>
      <c r="J41" s="63">
        <v>2200</v>
      </c>
      <c r="K41" s="65">
        <f t="shared" si="13"/>
        <v>396</v>
      </c>
      <c r="L41" s="65">
        <f t="shared" si="14"/>
        <v>396</v>
      </c>
      <c r="M41" s="65">
        <f t="shared" si="15"/>
        <v>396</v>
      </c>
      <c r="N41" s="65"/>
      <c r="O41" s="65"/>
      <c r="P41" s="65"/>
      <c r="Q41" s="63"/>
      <c r="R41" s="63"/>
      <c r="S41" s="63"/>
      <c r="T41" s="63"/>
      <c r="U41" s="63"/>
      <c r="V41" s="63"/>
      <c r="W41" s="63" t="s">
        <v>73</v>
      </c>
      <c r="X41" s="63" t="s">
        <v>74</v>
      </c>
      <c r="Y41" s="63" t="s">
        <v>44</v>
      </c>
      <c r="Z41" s="63" t="s">
        <v>45</v>
      </c>
      <c r="AA41" s="63"/>
      <c r="AB41" s="28"/>
      <c r="AC41" s="28"/>
    </row>
    <row r="42" s="27" customFormat="1" ht="106.5" spans="1:29">
      <c r="A42" s="63">
        <v>32</v>
      </c>
      <c r="B42" s="63" t="s">
        <v>80</v>
      </c>
      <c r="C42" s="63" t="s">
        <v>76</v>
      </c>
      <c r="D42" s="63" t="s">
        <v>33</v>
      </c>
      <c r="E42" s="63" t="s">
        <v>37</v>
      </c>
      <c r="F42" s="63" t="s">
        <v>38</v>
      </c>
      <c r="G42" s="63" t="s">
        <v>869</v>
      </c>
      <c r="H42" s="64" t="s">
        <v>858</v>
      </c>
      <c r="I42" s="63" t="s">
        <v>41</v>
      </c>
      <c r="J42" s="63">
        <v>2200</v>
      </c>
      <c r="K42" s="65">
        <f t="shared" si="13"/>
        <v>396</v>
      </c>
      <c r="L42" s="65">
        <f t="shared" si="14"/>
        <v>396</v>
      </c>
      <c r="M42" s="65">
        <f t="shared" si="15"/>
        <v>396</v>
      </c>
      <c r="N42" s="65"/>
      <c r="O42" s="65"/>
      <c r="P42" s="65"/>
      <c r="Q42" s="63"/>
      <c r="R42" s="63"/>
      <c r="S42" s="63"/>
      <c r="T42" s="63"/>
      <c r="U42" s="63"/>
      <c r="V42" s="63"/>
      <c r="W42" s="63" t="s">
        <v>77</v>
      </c>
      <c r="X42" s="63" t="s">
        <v>55</v>
      </c>
      <c r="Y42" s="63" t="s">
        <v>44</v>
      </c>
      <c r="Z42" s="63" t="s">
        <v>45</v>
      </c>
      <c r="AA42" s="63"/>
      <c r="AB42" s="28"/>
      <c r="AC42" s="28"/>
    </row>
    <row r="43" s="27" customFormat="1" ht="106.5" spans="1:29">
      <c r="A43" s="63">
        <v>33</v>
      </c>
      <c r="B43" s="63" t="s">
        <v>86</v>
      </c>
      <c r="C43" s="63" t="s">
        <v>81</v>
      </c>
      <c r="D43" s="63" t="s">
        <v>33</v>
      </c>
      <c r="E43" s="63" t="s">
        <v>37</v>
      </c>
      <c r="F43" s="63" t="s">
        <v>38</v>
      </c>
      <c r="G43" s="63" t="s">
        <v>82</v>
      </c>
      <c r="H43" s="64" t="s">
        <v>870</v>
      </c>
      <c r="I43" s="63" t="s">
        <v>41</v>
      </c>
      <c r="J43" s="63">
        <v>2367</v>
      </c>
      <c r="K43" s="65">
        <f t="shared" si="13"/>
        <v>395</v>
      </c>
      <c r="L43" s="65">
        <f t="shared" si="14"/>
        <v>395</v>
      </c>
      <c r="M43" s="65">
        <v>395</v>
      </c>
      <c r="N43" s="65"/>
      <c r="O43" s="65"/>
      <c r="P43" s="65"/>
      <c r="Q43" s="63"/>
      <c r="R43" s="63"/>
      <c r="S43" s="63"/>
      <c r="T43" s="63"/>
      <c r="U43" s="63"/>
      <c r="V43" s="63"/>
      <c r="W43" s="63" t="s">
        <v>84</v>
      </c>
      <c r="X43" s="63" t="s">
        <v>85</v>
      </c>
      <c r="Y43" s="63" t="s">
        <v>44</v>
      </c>
      <c r="Z43" s="63" t="s">
        <v>45</v>
      </c>
      <c r="AA43" s="63"/>
      <c r="AB43" s="28"/>
      <c r="AC43" s="28"/>
    </row>
    <row r="44" s="27" customFormat="1" ht="106.5" spans="1:29">
      <c r="A44" s="63">
        <v>34</v>
      </c>
      <c r="B44" s="63" t="s">
        <v>100</v>
      </c>
      <c r="C44" s="63" t="s">
        <v>87</v>
      </c>
      <c r="D44" s="63" t="s">
        <v>33</v>
      </c>
      <c r="E44" s="63" t="s">
        <v>37</v>
      </c>
      <c r="F44" s="63" t="s">
        <v>38</v>
      </c>
      <c r="G44" s="63" t="s">
        <v>88</v>
      </c>
      <c r="H44" s="64" t="s">
        <v>858</v>
      </c>
      <c r="I44" s="63" t="s">
        <v>41</v>
      </c>
      <c r="J44" s="63">
        <v>2200</v>
      </c>
      <c r="K44" s="65">
        <f t="shared" si="13"/>
        <v>396</v>
      </c>
      <c r="L44" s="65">
        <f t="shared" si="14"/>
        <v>396</v>
      </c>
      <c r="M44" s="65">
        <f>J44*0.18</f>
        <v>396</v>
      </c>
      <c r="N44" s="65"/>
      <c r="O44" s="65"/>
      <c r="P44" s="65"/>
      <c r="Q44" s="63"/>
      <c r="R44" s="63"/>
      <c r="S44" s="63"/>
      <c r="T44" s="63"/>
      <c r="U44" s="63"/>
      <c r="V44" s="63"/>
      <c r="W44" s="63" t="s">
        <v>88</v>
      </c>
      <c r="X44" s="63" t="s">
        <v>89</v>
      </c>
      <c r="Y44" s="63" t="s">
        <v>44</v>
      </c>
      <c r="Z44" s="63" t="s">
        <v>45</v>
      </c>
      <c r="AA44" s="63"/>
      <c r="AB44" s="28"/>
      <c r="AC44" s="28"/>
    </row>
    <row r="45" s="27" customFormat="1" ht="106.5" spans="1:29">
      <c r="A45" s="63">
        <v>35</v>
      </c>
      <c r="B45" s="63" t="s">
        <v>92</v>
      </c>
      <c r="C45" s="63" t="s">
        <v>452</v>
      </c>
      <c r="D45" s="63" t="s">
        <v>33</v>
      </c>
      <c r="E45" s="63" t="s">
        <v>37</v>
      </c>
      <c r="F45" s="63" t="s">
        <v>38</v>
      </c>
      <c r="G45" s="63" t="s">
        <v>871</v>
      </c>
      <c r="H45" s="64" t="s">
        <v>872</v>
      </c>
      <c r="I45" s="63" t="s">
        <v>41</v>
      </c>
      <c r="J45" s="63">
        <v>2150</v>
      </c>
      <c r="K45" s="65">
        <f t="shared" si="13"/>
        <v>387</v>
      </c>
      <c r="L45" s="65">
        <f t="shared" si="14"/>
        <v>387</v>
      </c>
      <c r="M45" s="65">
        <f t="shared" si="15"/>
        <v>387</v>
      </c>
      <c r="N45" s="65"/>
      <c r="O45" s="65"/>
      <c r="P45" s="65"/>
      <c r="Q45" s="63"/>
      <c r="R45" s="63"/>
      <c r="S45" s="63"/>
      <c r="T45" s="63"/>
      <c r="U45" s="63"/>
      <c r="V45" s="63"/>
      <c r="W45" s="63" t="s">
        <v>104</v>
      </c>
      <c r="X45" s="63" t="s">
        <v>105</v>
      </c>
      <c r="Y45" s="63" t="s">
        <v>44</v>
      </c>
      <c r="Z45" s="63" t="s">
        <v>45</v>
      </c>
      <c r="AA45" s="63"/>
      <c r="AB45" s="28"/>
      <c r="AC45" s="28"/>
    </row>
    <row r="46" s="27" customFormat="1" ht="106.5" spans="1:29">
      <c r="A46" s="63">
        <v>36</v>
      </c>
      <c r="B46" s="63" t="s">
        <v>454</v>
      </c>
      <c r="C46" s="63" t="s">
        <v>93</v>
      </c>
      <c r="D46" s="63" t="s">
        <v>33</v>
      </c>
      <c r="E46" s="63" t="s">
        <v>37</v>
      </c>
      <c r="F46" s="63" t="s">
        <v>38</v>
      </c>
      <c r="G46" s="63" t="s">
        <v>94</v>
      </c>
      <c r="H46" s="64" t="s">
        <v>858</v>
      </c>
      <c r="I46" s="63" t="s">
        <v>41</v>
      </c>
      <c r="J46" s="63">
        <v>2200</v>
      </c>
      <c r="K46" s="65">
        <f t="shared" si="13"/>
        <v>396</v>
      </c>
      <c r="L46" s="65">
        <f t="shared" si="14"/>
        <v>396</v>
      </c>
      <c r="M46" s="65">
        <f t="shared" si="15"/>
        <v>396</v>
      </c>
      <c r="N46" s="65"/>
      <c r="O46" s="65"/>
      <c r="P46" s="65"/>
      <c r="Q46" s="63"/>
      <c r="R46" s="63"/>
      <c r="S46" s="63"/>
      <c r="T46" s="63"/>
      <c r="U46" s="63"/>
      <c r="V46" s="63"/>
      <c r="W46" s="63" t="s">
        <v>94</v>
      </c>
      <c r="X46" s="63" t="s">
        <v>96</v>
      </c>
      <c r="Y46" s="63" t="s">
        <v>44</v>
      </c>
      <c r="Z46" s="63" t="s">
        <v>45</v>
      </c>
      <c r="AA46" s="63"/>
      <c r="AB46" s="28"/>
      <c r="AC46" s="28"/>
    </row>
    <row r="47" s="27" customFormat="1" ht="106.5" spans="1:29">
      <c r="A47" s="63">
        <v>37</v>
      </c>
      <c r="B47" s="63" t="s">
        <v>456</v>
      </c>
      <c r="C47" s="63" t="s">
        <v>457</v>
      </c>
      <c r="D47" s="63" t="s">
        <v>33</v>
      </c>
      <c r="E47" s="63" t="s">
        <v>37</v>
      </c>
      <c r="F47" s="63" t="s">
        <v>38</v>
      </c>
      <c r="G47" s="63" t="s">
        <v>142</v>
      </c>
      <c r="H47" s="64" t="s">
        <v>873</v>
      </c>
      <c r="I47" s="63" t="s">
        <v>41</v>
      </c>
      <c r="J47" s="63">
        <v>2000</v>
      </c>
      <c r="K47" s="65">
        <f t="shared" si="13"/>
        <v>360</v>
      </c>
      <c r="L47" s="65">
        <f t="shared" si="14"/>
        <v>360</v>
      </c>
      <c r="M47" s="65">
        <f t="shared" si="15"/>
        <v>360</v>
      </c>
      <c r="N47" s="65"/>
      <c r="O47" s="65"/>
      <c r="P47" s="65"/>
      <c r="Q47" s="63"/>
      <c r="R47" s="63"/>
      <c r="S47" s="63"/>
      <c r="T47" s="63"/>
      <c r="U47" s="63"/>
      <c r="V47" s="63"/>
      <c r="W47" s="63" t="s">
        <v>142</v>
      </c>
      <c r="X47" s="63" t="s">
        <v>874</v>
      </c>
      <c r="Y47" s="63" t="s">
        <v>44</v>
      </c>
      <c r="Z47" s="63" t="s">
        <v>45</v>
      </c>
      <c r="AA47" s="63"/>
      <c r="AB47" s="28"/>
      <c r="AC47" s="28"/>
    </row>
    <row r="48" s="27" customFormat="1" ht="106.5" spans="1:29">
      <c r="A48" s="63">
        <v>38</v>
      </c>
      <c r="B48" s="63" t="s">
        <v>459</v>
      </c>
      <c r="C48" s="63" t="s">
        <v>460</v>
      </c>
      <c r="D48" s="63" t="s">
        <v>33</v>
      </c>
      <c r="E48" s="63" t="s">
        <v>37</v>
      </c>
      <c r="F48" s="63" t="s">
        <v>38</v>
      </c>
      <c r="G48" s="63" t="s">
        <v>190</v>
      </c>
      <c r="H48" s="64" t="s">
        <v>875</v>
      </c>
      <c r="I48" s="63" t="s">
        <v>41</v>
      </c>
      <c r="J48" s="63">
        <v>2045</v>
      </c>
      <c r="K48" s="65">
        <f t="shared" si="13"/>
        <v>306</v>
      </c>
      <c r="L48" s="65">
        <f t="shared" si="14"/>
        <v>306</v>
      </c>
      <c r="M48" s="65">
        <v>306</v>
      </c>
      <c r="N48" s="65"/>
      <c r="O48" s="65"/>
      <c r="P48" s="65"/>
      <c r="Q48" s="63"/>
      <c r="R48" s="63"/>
      <c r="S48" s="63"/>
      <c r="T48" s="63"/>
      <c r="U48" s="63"/>
      <c r="V48" s="63"/>
      <c r="W48" s="63" t="s">
        <v>190</v>
      </c>
      <c r="X48" s="63" t="s">
        <v>191</v>
      </c>
      <c r="Y48" s="63" t="s">
        <v>44</v>
      </c>
      <c r="Z48" s="63" t="s">
        <v>45</v>
      </c>
      <c r="AA48" s="63"/>
      <c r="AB48" s="28"/>
      <c r="AC48" s="28"/>
    </row>
    <row r="49" s="27" customFormat="1" ht="106.5" spans="1:29">
      <c r="A49" s="63">
        <v>39</v>
      </c>
      <c r="B49" s="63" t="s">
        <v>462</v>
      </c>
      <c r="C49" s="63" t="s">
        <v>463</v>
      </c>
      <c r="D49" s="63" t="s">
        <v>33</v>
      </c>
      <c r="E49" s="63" t="s">
        <v>37</v>
      </c>
      <c r="F49" s="63" t="s">
        <v>38</v>
      </c>
      <c r="G49" s="63" t="s">
        <v>48</v>
      </c>
      <c r="H49" s="64" t="s">
        <v>876</v>
      </c>
      <c r="I49" s="63" t="s">
        <v>41</v>
      </c>
      <c r="J49" s="63">
        <v>2600</v>
      </c>
      <c r="K49" s="65">
        <f t="shared" si="13"/>
        <v>390</v>
      </c>
      <c r="L49" s="65">
        <f t="shared" si="14"/>
        <v>390</v>
      </c>
      <c r="M49" s="65">
        <f>J49*0.15</f>
        <v>390</v>
      </c>
      <c r="N49" s="65"/>
      <c r="O49" s="65"/>
      <c r="P49" s="65"/>
      <c r="Q49" s="63"/>
      <c r="R49" s="63"/>
      <c r="S49" s="63"/>
      <c r="T49" s="63"/>
      <c r="U49" s="63"/>
      <c r="V49" s="63"/>
      <c r="W49" s="63" t="s">
        <v>48</v>
      </c>
      <c r="X49" s="63" t="s">
        <v>50</v>
      </c>
      <c r="Y49" s="63" t="s">
        <v>44</v>
      </c>
      <c r="Z49" s="63" t="s">
        <v>45</v>
      </c>
      <c r="AA49" s="63"/>
      <c r="AB49" s="28"/>
      <c r="AC49" s="28"/>
    </row>
    <row r="50" s="27" customFormat="1" ht="106.5" spans="1:29">
      <c r="A50" s="63">
        <v>40</v>
      </c>
      <c r="B50" s="63" t="s">
        <v>465</v>
      </c>
      <c r="C50" s="63" t="s">
        <v>466</v>
      </c>
      <c r="D50" s="63" t="s">
        <v>33</v>
      </c>
      <c r="E50" s="63" t="s">
        <v>37</v>
      </c>
      <c r="F50" s="63" t="s">
        <v>38</v>
      </c>
      <c r="G50" s="63" t="s">
        <v>173</v>
      </c>
      <c r="H50" s="64" t="s">
        <v>877</v>
      </c>
      <c r="I50" s="63" t="s">
        <v>41</v>
      </c>
      <c r="J50" s="63">
        <v>4400</v>
      </c>
      <c r="K50" s="65">
        <f t="shared" si="13"/>
        <v>660</v>
      </c>
      <c r="L50" s="65">
        <f t="shared" si="14"/>
        <v>660</v>
      </c>
      <c r="M50" s="65">
        <f>J50*0.15</f>
        <v>660</v>
      </c>
      <c r="N50" s="65"/>
      <c r="O50" s="65"/>
      <c r="P50" s="65"/>
      <c r="Q50" s="63"/>
      <c r="R50" s="63"/>
      <c r="S50" s="63"/>
      <c r="T50" s="63"/>
      <c r="U50" s="63"/>
      <c r="V50" s="63"/>
      <c r="W50" s="63" t="s">
        <v>173</v>
      </c>
      <c r="X50" s="63" t="s">
        <v>174</v>
      </c>
      <c r="Y50" s="63" t="s">
        <v>44</v>
      </c>
      <c r="Z50" s="63" t="s">
        <v>45</v>
      </c>
      <c r="AA50" s="63"/>
      <c r="AB50" s="28"/>
      <c r="AC50" s="28"/>
    </row>
    <row r="51" s="27" customFormat="1" ht="106.5" spans="1:29">
      <c r="A51" s="63">
        <v>42</v>
      </c>
      <c r="B51" s="63" t="s">
        <v>470</v>
      </c>
      <c r="C51" s="63" t="s">
        <v>133</v>
      </c>
      <c r="D51" s="63" t="s">
        <v>33</v>
      </c>
      <c r="E51" s="63" t="s">
        <v>37</v>
      </c>
      <c r="F51" s="63" t="s">
        <v>38</v>
      </c>
      <c r="G51" s="63" t="s">
        <v>130</v>
      </c>
      <c r="H51" s="64" t="s">
        <v>471</v>
      </c>
      <c r="I51" s="63" t="s">
        <v>41</v>
      </c>
      <c r="J51" s="63">
        <v>1500</v>
      </c>
      <c r="K51" s="65">
        <f t="shared" si="13"/>
        <v>225</v>
      </c>
      <c r="L51" s="65">
        <f t="shared" si="14"/>
        <v>225</v>
      </c>
      <c r="M51" s="65">
        <v>225</v>
      </c>
      <c r="N51" s="65"/>
      <c r="O51" s="65"/>
      <c r="P51" s="65"/>
      <c r="Q51" s="63"/>
      <c r="R51" s="63"/>
      <c r="S51" s="63"/>
      <c r="T51" s="63"/>
      <c r="U51" s="63"/>
      <c r="V51" s="63"/>
      <c r="W51" s="63" t="s">
        <v>130</v>
      </c>
      <c r="X51" s="63" t="s">
        <v>867</v>
      </c>
      <c r="Y51" s="63" t="s">
        <v>44</v>
      </c>
      <c r="Z51" s="63" t="s">
        <v>45</v>
      </c>
      <c r="AA51" s="63"/>
      <c r="AB51" s="28"/>
      <c r="AC51" s="28"/>
    </row>
    <row r="52" s="27" customFormat="1" ht="106.5" spans="1:29">
      <c r="A52" s="63">
        <v>43</v>
      </c>
      <c r="B52" s="63" t="s">
        <v>472</v>
      </c>
      <c r="C52" s="63" t="s">
        <v>473</v>
      </c>
      <c r="D52" s="63" t="s">
        <v>33</v>
      </c>
      <c r="E52" s="63" t="s">
        <v>37</v>
      </c>
      <c r="F52" s="63" t="s">
        <v>38</v>
      </c>
      <c r="G52" s="63" t="s">
        <v>63</v>
      </c>
      <c r="H52" s="64" t="s">
        <v>878</v>
      </c>
      <c r="I52" s="63" t="s">
        <v>41</v>
      </c>
      <c r="J52" s="63">
        <v>2200</v>
      </c>
      <c r="K52" s="65">
        <f t="shared" si="13"/>
        <v>330</v>
      </c>
      <c r="L52" s="65">
        <f t="shared" si="14"/>
        <v>330</v>
      </c>
      <c r="M52" s="65">
        <f>J52*0.15</f>
        <v>330</v>
      </c>
      <c r="N52" s="65"/>
      <c r="O52" s="65"/>
      <c r="P52" s="65"/>
      <c r="Q52" s="63"/>
      <c r="R52" s="63"/>
      <c r="S52" s="63"/>
      <c r="T52" s="63"/>
      <c r="U52" s="63"/>
      <c r="V52" s="63"/>
      <c r="W52" s="63" t="s">
        <v>63</v>
      </c>
      <c r="X52" s="63" t="s">
        <v>65</v>
      </c>
      <c r="Y52" s="63" t="s">
        <v>44</v>
      </c>
      <c r="Z52" s="63" t="s">
        <v>45</v>
      </c>
      <c r="AA52" s="63"/>
      <c r="AB52" s="28"/>
      <c r="AC52" s="28"/>
    </row>
    <row r="53" s="28" customFormat="1" ht="106.5" spans="1:29">
      <c r="A53" s="63">
        <v>45</v>
      </c>
      <c r="B53" s="63" t="s">
        <v>481</v>
      </c>
      <c r="C53" s="63" t="s">
        <v>482</v>
      </c>
      <c r="D53" s="63" t="s">
        <v>33</v>
      </c>
      <c r="E53" s="63" t="s">
        <v>37</v>
      </c>
      <c r="F53" s="63" t="s">
        <v>38</v>
      </c>
      <c r="G53" s="63" t="s">
        <v>88</v>
      </c>
      <c r="H53" s="64" t="s">
        <v>879</v>
      </c>
      <c r="I53" s="63" t="s">
        <v>41</v>
      </c>
      <c r="J53" s="63">
        <v>3500</v>
      </c>
      <c r="K53" s="65">
        <f t="shared" si="13"/>
        <v>525</v>
      </c>
      <c r="L53" s="65">
        <f t="shared" si="14"/>
        <v>525</v>
      </c>
      <c r="M53" s="65">
        <f>J53*0.15</f>
        <v>525</v>
      </c>
      <c r="N53" s="65"/>
      <c r="O53" s="65"/>
      <c r="P53" s="65"/>
      <c r="Q53" s="63"/>
      <c r="R53" s="63"/>
      <c r="S53" s="63"/>
      <c r="T53" s="63"/>
      <c r="U53" s="63"/>
      <c r="V53" s="63"/>
      <c r="W53" s="63" t="s">
        <v>88</v>
      </c>
      <c r="X53" s="63" t="s">
        <v>89</v>
      </c>
      <c r="Y53" s="63" t="s">
        <v>44</v>
      </c>
      <c r="Z53" s="63" t="s">
        <v>45</v>
      </c>
      <c r="AA53" s="63"/>
    </row>
    <row r="54" s="28" customFormat="1" ht="106.5" spans="1:29">
      <c r="A54" s="63">
        <v>46</v>
      </c>
      <c r="B54" s="63" t="s">
        <v>484</v>
      </c>
      <c r="C54" s="63" t="s">
        <v>485</v>
      </c>
      <c r="D54" s="63" t="s">
        <v>33</v>
      </c>
      <c r="E54" s="63" t="s">
        <v>37</v>
      </c>
      <c r="F54" s="63" t="s">
        <v>38</v>
      </c>
      <c r="G54" s="63" t="s">
        <v>104</v>
      </c>
      <c r="H54" s="64" t="s">
        <v>880</v>
      </c>
      <c r="I54" s="63" t="s">
        <v>41</v>
      </c>
      <c r="J54" s="63">
        <v>1900</v>
      </c>
      <c r="K54" s="65">
        <f t="shared" si="13"/>
        <v>285</v>
      </c>
      <c r="L54" s="65">
        <f t="shared" si="14"/>
        <v>285</v>
      </c>
      <c r="M54" s="65">
        <f>J54*0.15</f>
        <v>285</v>
      </c>
      <c r="N54" s="65"/>
      <c r="O54" s="65"/>
      <c r="P54" s="65"/>
      <c r="Q54" s="63"/>
      <c r="R54" s="63"/>
      <c r="S54" s="63"/>
      <c r="T54" s="63"/>
      <c r="U54" s="63"/>
      <c r="V54" s="63"/>
      <c r="W54" s="63" t="s">
        <v>104</v>
      </c>
      <c r="X54" s="63" t="s">
        <v>105</v>
      </c>
      <c r="Y54" s="63" t="s">
        <v>44</v>
      </c>
      <c r="Z54" s="63" t="s">
        <v>45</v>
      </c>
      <c r="AA54" s="63"/>
    </row>
    <row r="55" s="27" customFormat="1" ht="132" customHeight="1" spans="1:29">
      <c r="A55" s="63">
        <v>47</v>
      </c>
      <c r="B55" s="63" t="s">
        <v>487</v>
      </c>
      <c r="C55" s="63" t="s">
        <v>488</v>
      </c>
      <c r="D55" s="63" t="s">
        <v>33</v>
      </c>
      <c r="E55" s="63" t="s">
        <v>37</v>
      </c>
      <c r="F55" s="63" t="s">
        <v>38</v>
      </c>
      <c r="G55" s="63" t="s">
        <v>94</v>
      </c>
      <c r="H55" s="64" t="s">
        <v>881</v>
      </c>
      <c r="I55" s="63" t="s">
        <v>41</v>
      </c>
      <c r="J55" s="63">
        <v>2380</v>
      </c>
      <c r="K55" s="65">
        <f t="shared" si="13"/>
        <v>357</v>
      </c>
      <c r="L55" s="65">
        <f t="shared" si="14"/>
        <v>357</v>
      </c>
      <c r="M55" s="65">
        <f>J55*0.15</f>
        <v>357</v>
      </c>
      <c r="N55" s="65"/>
      <c r="O55" s="65"/>
      <c r="P55" s="65"/>
      <c r="Q55" s="63"/>
      <c r="R55" s="63"/>
      <c r="S55" s="63"/>
      <c r="T55" s="63"/>
      <c r="U55" s="63"/>
      <c r="V55" s="63"/>
      <c r="W55" s="63" t="s">
        <v>94</v>
      </c>
      <c r="X55" s="63" t="s">
        <v>96</v>
      </c>
      <c r="Y55" s="63" t="s">
        <v>44</v>
      </c>
      <c r="Z55" s="63" t="s">
        <v>45</v>
      </c>
      <c r="AA55" s="63"/>
      <c r="AB55" s="28"/>
      <c r="AC55" s="28"/>
    </row>
    <row r="56" s="27" customFormat="1" ht="106.5" spans="1:29">
      <c r="A56" s="63">
        <v>48</v>
      </c>
      <c r="B56" s="63" t="s">
        <v>490</v>
      </c>
      <c r="C56" s="63" t="s">
        <v>491</v>
      </c>
      <c r="D56" s="63" t="s">
        <v>33</v>
      </c>
      <c r="E56" s="63" t="s">
        <v>37</v>
      </c>
      <c r="F56" s="63" t="s">
        <v>38</v>
      </c>
      <c r="G56" s="63" t="s">
        <v>142</v>
      </c>
      <c r="H56" s="64" t="s">
        <v>492</v>
      </c>
      <c r="I56" s="63" t="s">
        <v>41</v>
      </c>
      <c r="J56" s="63">
        <v>4110</v>
      </c>
      <c r="K56" s="65">
        <f t="shared" si="13"/>
        <v>616.5</v>
      </c>
      <c r="L56" s="65">
        <f t="shared" si="14"/>
        <v>616.5</v>
      </c>
      <c r="M56" s="65">
        <v>616.5</v>
      </c>
      <c r="N56" s="65"/>
      <c r="O56" s="65"/>
      <c r="P56" s="65"/>
      <c r="Q56" s="63"/>
      <c r="R56" s="63"/>
      <c r="S56" s="63"/>
      <c r="T56" s="63"/>
      <c r="U56" s="63"/>
      <c r="V56" s="63"/>
      <c r="W56" s="63" t="s">
        <v>142</v>
      </c>
      <c r="X56" s="63" t="s">
        <v>874</v>
      </c>
      <c r="Y56" s="63" t="s">
        <v>44</v>
      </c>
      <c r="Z56" s="63" t="s">
        <v>45</v>
      </c>
      <c r="AA56" s="63"/>
      <c r="AB56" s="28"/>
      <c r="AC56" s="28"/>
    </row>
    <row r="57" s="26" customFormat="1" ht="35.5" spans="1:29">
      <c r="A57" s="57" t="s">
        <v>493</v>
      </c>
      <c r="B57" s="57"/>
      <c r="C57" s="57"/>
      <c r="D57" s="58"/>
      <c r="E57" s="59"/>
      <c r="F57" s="59"/>
      <c r="G57" s="59"/>
      <c r="H57" s="59">
        <v>2</v>
      </c>
      <c r="I57" s="60"/>
      <c r="J57" s="60"/>
      <c r="K57" s="61">
        <f>SUM(K58:K59)</f>
        <v>205</v>
      </c>
      <c r="L57" s="61">
        <f>SUM(L58:L59)</f>
        <v>205</v>
      </c>
      <c r="M57" s="61">
        <f>SUM(M58:M59)</f>
        <v>120</v>
      </c>
      <c r="N57" s="61">
        <f t="shared" ref="N57:V57" si="16">SUM(N59:N59)</f>
        <v>0</v>
      </c>
      <c r="O57" s="61">
        <f t="shared" si="16"/>
        <v>0</v>
      </c>
      <c r="P57" s="61">
        <f t="shared" si="16"/>
        <v>0</v>
      </c>
      <c r="Q57" s="61">
        <f t="shared" si="16"/>
        <v>0</v>
      </c>
      <c r="R57" s="61">
        <f t="shared" si="16"/>
        <v>85</v>
      </c>
      <c r="S57" s="61">
        <f t="shared" si="16"/>
        <v>0</v>
      </c>
      <c r="T57" s="61">
        <f t="shared" si="16"/>
        <v>0</v>
      </c>
      <c r="U57" s="61">
        <f t="shared" si="16"/>
        <v>0</v>
      </c>
      <c r="V57" s="61">
        <f t="shared" si="16"/>
        <v>0</v>
      </c>
      <c r="W57" s="59"/>
      <c r="X57" s="59"/>
      <c r="Y57" s="62"/>
      <c r="Z57" s="62"/>
      <c r="AA57" s="62"/>
    </row>
    <row r="58" s="27" customFormat="1" ht="106.5" spans="1:29">
      <c r="A58" s="63">
        <v>49</v>
      </c>
      <c r="B58" s="63" t="s">
        <v>494</v>
      </c>
      <c r="C58" s="63" t="s">
        <v>882</v>
      </c>
      <c r="D58" s="63" t="s">
        <v>33</v>
      </c>
      <c r="E58" s="63" t="s">
        <v>37</v>
      </c>
      <c r="F58" s="63" t="s">
        <v>38</v>
      </c>
      <c r="G58" s="63" t="s">
        <v>48</v>
      </c>
      <c r="H58" s="64" t="s">
        <v>496</v>
      </c>
      <c r="I58" s="63" t="s">
        <v>41</v>
      </c>
      <c r="J58" s="63">
        <v>600</v>
      </c>
      <c r="K58" s="65">
        <f>SUM(L58,T58,U58,V58)</f>
        <v>120</v>
      </c>
      <c r="L58" s="65">
        <f>SUM(M58:S58)</f>
        <v>120</v>
      </c>
      <c r="M58" s="65">
        <v>120</v>
      </c>
      <c r="N58" s="65"/>
      <c r="O58" s="65"/>
      <c r="P58" s="65"/>
      <c r="Q58" s="63"/>
      <c r="R58" s="63"/>
      <c r="S58" s="63"/>
      <c r="T58" s="63"/>
      <c r="U58" s="63"/>
      <c r="V58" s="63"/>
      <c r="W58" s="63" t="s">
        <v>48</v>
      </c>
      <c r="X58" s="63" t="s">
        <v>50</v>
      </c>
      <c r="Y58" s="63" t="s">
        <v>311</v>
      </c>
      <c r="Z58" s="63" t="s">
        <v>312</v>
      </c>
      <c r="AA58" s="63"/>
      <c r="AB58" s="28"/>
      <c r="AC58" s="28"/>
    </row>
    <row r="59" s="28" customFormat="1" ht="142" spans="1:29">
      <c r="A59" s="63">
        <v>50</v>
      </c>
      <c r="B59" s="63" t="s">
        <v>506</v>
      </c>
      <c r="C59" s="63" t="s">
        <v>507</v>
      </c>
      <c r="D59" s="63" t="s">
        <v>33</v>
      </c>
      <c r="E59" s="63" t="s">
        <v>37</v>
      </c>
      <c r="F59" s="63" t="s">
        <v>38</v>
      </c>
      <c r="G59" s="63" t="s">
        <v>508</v>
      </c>
      <c r="H59" s="83" t="s">
        <v>509</v>
      </c>
      <c r="I59" s="82" t="s">
        <v>41</v>
      </c>
      <c r="J59" s="63">
        <v>280</v>
      </c>
      <c r="K59" s="65">
        <f>SUM(L59,T59,U59,V59)</f>
        <v>85</v>
      </c>
      <c r="L59" s="65">
        <f>SUM(M59:S59)</f>
        <v>85</v>
      </c>
      <c r="M59" s="65"/>
      <c r="N59" s="86"/>
      <c r="O59" s="65"/>
      <c r="P59" s="65"/>
      <c r="Q59" s="63"/>
      <c r="R59" s="63">
        <v>85</v>
      </c>
      <c r="S59" s="63"/>
      <c r="T59" s="63"/>
      <c r="U59" s="63"/>
      <c r="V59" s="63"/>
      <c r="W59" s="63" t="s">
        <v>508</v>
      </c>
      <c r="X59" s="63" t="s">
        <v>883</v>
      </c>
      <c r="Y59" s="63" t="s">
        <v>311</v>
      </c>
      <c r="Z59" s="63" t="s">
        <v>312</v>
      </c>
      <c r="AA59" s="63"/>
    </row>
    <row r="60" s="26" customFormat="1" ht="35.5" spans="1:29">
      <c r="A60" s="57" t="s">
        <v>884</v>
      </c>
      <c r="B60" s="57"/>
      <c r="C60" s="57"/>
      <c r="D60" s="58"/>
      <c r="E60" s="59"/>
      <c r="F60" s="59"/>
      <c r="G60" s="59"/>
      <c r="H60" s="59">
        <v>2</v>
      </c>
      <c r="I60" s="60"/>
      <c r="J60" s="60"/>
      <c r="K60" s="61">
        <f>SUM(K61:K62)</f>
        <v>3049.89</v>
      </c>
      <c r="L60" s="61">
        <f>SUM(L61:L62)</f>
        <v>3049.89</v>
      </c>
      <c r="M60" s="61">
        <f>SUM(M61:M62)</f>
        <v>3049.89</v>
      </c>
      <c r="N60" s="61">
        <f t="shared" ref="N60:V60" si="17">SUM(N62:N62)</f>
        <v>0</v>
      </c>
      <c r="O60" s="61">
        <f t="shared" si="17"/>
        <v>0</v>
      </c>
      <c r="P60" s="61">
        <f t="shared" si="17"/>
        <v>0</v>
      </c>
      <c r="Q60" s="61">
        <f t="shared" si="17"/>
        <v>0</v>
      </c>
      <c r="R60" s="61">
        <f t="shared" si="17"/>
        <v>0</v>
      </c>
      <c r="S60" s="61">
        <f t="shared" si="17"/>
        <v>0</v>
      </c>
      <c r="T60" s="61">
        <f t="shared" si="17"/>
        <v>0</v>
      </c>
      <c r="U60" s="61">
        <f t="shared" si="17"/>
        <v>0</v>
      </c>
      <c r="V60" s="61">
        <f t="shared" si="17"/>
        <v>0</v>
      </c>
      <c r="W60" s="59"/>
      <c r="X60" s="59"/>
      <c r="Y60" s="62"/>
      <c r="Z60" s="62"/>
      <c r="AA60" s="62"/>
    </row>
    <row r="61" s="28" customFormat="1" ht="248.5" spans="1:29">
      <c r="A61" s="63">
        <v>51</v>
      </c>
      <c r="B61" s="63" t="s">
        <v>520</v>
      </c>
      <c r="C61" s="63" t="s">
        <v>521</v>
      </c>
      <c r="D61" s="63" t="s">
        <v>33</v>
      </c>
      <c r="E61" s="63" t="s">
        <v>37</v>
      </c>
      <c r="F61" s="63" t="s">
        <v>38</v>
      </c>
      <c r="G61" s="63" t="s">
        <v>522</v>
      </c>
      <c r="H61" s="64" t="s">
        <v>523</v>
      </c>
      <c r="I61" s="63" t="s">
        <v>165</v>
      </c>
      <c r="J61" s="63">
        <v>87</v>
      </c>
      <c r="K61" s="65">
        <f>SUM(L61,T61:V61)</f>
        <v>69.89</v>
      </c>
      <c r="L61" s="65">
        <f>SUM(M61:S61)</f>
        <v>69.89</v>
      </c>
      <c r="M61" s="65">
        <v>69.89</v>
      </c>
      <c r="N61" s="65"/>
      <c r="O61" s="65"/>
      <c r="P61" s="65"/>
      <c r="Q61" s="63"/>
      <c r="R61" s="63"/>
      <c r="S61" s="63"/>
      <c r="T61" s="63"/>
      <c r="U61" s="63"/>
      <c r="V61" s="63"/>
      <c r="W61" s="63" t="s">
        <v>190</v>
      </c>
      <c r="X61" s="63" t="s">
        <v>191</v>
      </c>
      <c r="Y61" s="63" t="s">
        <v>166</v>
      </c>
      <c r="Z61" s="63" t="s">
        <v>357</v>
      </c>
      <c r="AA61" s="63"/>
    </row>
    <row r="62" s="68" customFormat="1" ht="106.5" spans="1:29">
      <c r="A62" s="63">
        <v>52</v>
      </c>
      <c r="B62" s="63" t="s">
        <v>528</v>
      </c>
      <c r="C62" s="63" t="s">
        <v>147</v>
      </c>
      <c r="D62" s="63" t="s">
        <v>33</v>
      </c>
      <c r="E62" s="63" t="s">
        <v>37</v>
      </c>
      <c r="F62" s="63" t="s">
        <v>38</v>
      </c>
      <c r="G62" s="63" t="s">
        <v>148</v>
      </c>
      <c r="H62" s="64" t="s">
        <v>529</v>
      </c>
      <c r="I62" s="63" t="s">
        <v>150</v>
      </c>
      <c r="J62" s="63">
        <v>4.9</v>
      </c>
      <c r="K62" s="65">
        <f>SUM(L62,T62:V62)</f>
        <v>2980</v>
      </c>
      <c r="L62" s="65">
        <f>SUM(M62:S62)</f>
        <v>2980</v>
      </c>
      <c r="M62" s="65">
        <v>2980</v>
      </c>
      <c r="N62" s="65"/>
      <c r="O62" s="65"/>
      <c r="P62" s="65"/>
      <c r="Q62" s="63"/>
      <c r="R62" s="63"/>
      <c r="S62" s="63"/>
      <c r="T62" s="63"/>
      <c r="U62" s="63"/>
      <c r="V62" s="63"/>
      <c r="W62" s="63" t="s">
        <v>151</v>
      </c>
      <c r="X62" s="63" t="s">
        <v>152</v>
      </c>
      <c r="Y62" s="63" t="s">
        <v>166</v>
      </c>
      <c r="Z62" s="63" t="s">
        <v>357</v>
      </c>
      <c r="AA62" s="63" t="s">
        <v>885</v>
      </c>
      <c r="AB62" s="28"/>
      <c r="AC62" s="28"/>
    </row>
    <row r="63" s="26" customFormat="1" ht="35.5" spans="1:29">
      <c r="A63" s="57" t="s">
        <v>536</v>
      </c>
      <c r="B63" s="57"/>
      <c r="C63" s="57"/>
      <c r="D63" s="58"/>
      <c r="E63" s="59"/>
      <c r="F63" s="59"/>
      <c r="G63" s="59"/>
      <c r="H63" s="59">
        <v>5</v>
      </c>
      <c r="I63" s="60"/>
      <c r="J63" s="60"/>
      <c r="K63" s="61">
        <f t="shared" ref="K63:V63" si="18">SUM(K64:K68)</f>
        <v>3795</v>
      </c>
      <c r="L63" s="61">
        <f t="shared" si="18"/>
        <v>3795</v>
      </c>
      <c r="M63" s="61">
        <f t="shared" si="18"/>
        <v>3795</v>
      </c>
      <c r="N63" s="61">
        <f t="shared" si="18"/>
        <v>0</v>
      </c>
      <c r="O63" s="61">
        <f t="shared" si="18"/>
        <v>0</v>
      </c>
      <c r="P63" s="61">
        <f t="shared" si="18"/>
        <v>0</v>
      </c>
      <c r="Q63" s="61">
        <f t="shared" si="18"/>
        <v>0</v>
      </c>
      <c r="R63" s="61">
        <f t="shared" si="18"/>
        <v>0</v>
      </c>
      <c r="S63" s="61">
        <f t="shared" si="18"/>
        <v>0</v>
      </c>
      <c r="T63" s="61">
        <f t="shared" si="18"/>
        <v>0</v>
      </c>
      <c r="U63" s="61">
        <f t="shared" si="18"/>
        <v>0</v>
      </c>
      <c r="V63" s="61">
        <f t="shared" si="18"/>
        <v>0</v>
      </c>
      <c r="W63" s="59"/>
      <c r="X63" s="59"/>
      <c r="Y63" s="62"/>
      <c r="Z63" s="62"/>
      <c r="AA63" s="62"/>
    </row>
    <row r="64" s="28" customFormat="1" ht="177.5" spans="1:29">
      <c r="A64" s="63">
        <v>53</v>
      </c>
      <c r="B64" s="63" t="s">
        <v>146</v>
      </c>
      <c r="C64" s="63" t="s">
        <v>537</v>
      </c>
      <c r="D64" s="63" t="s">
        <v>33</v>
      </c>
      <c r="E64" s="63" t="s">
        <v>211</v>
      </c>
      <c r="F64" s="63" t="s">
        <v>538</v>
      </c>
      <c r="G64" s="63" t="s">
        <v>539</v>
      </c>
      <c r="H64" s="83" t="s">
        <v>886</v>
      </c>
      <c r="I64" s="82" t="s">
        <v>541</v>
      </c>
      <c r="J64" s="82">
        <v>4</v>
      </c>
      <c r="K64" s="65">
        <f>SUM(L64,T64:V64)</f>
        <v>2000</v>
      </c>
      <c r="L64" s="65">
        <f>SUM(M64:S64)</f>
        <v>2000</v>
      </c>
      <c r="M64" s="65">
        <v>2000</v>
      </c>
      <c r="N64" s="86"/>
      <c r="O64" s="86"/>
      <c r="P64" s="86"/>
      <c r="Q64" s="87"/>
      <c r="R64" s="87"/>
      <c r="S64" s="87"/>
      <c r="T64" s="87"/>
      <c r="U64" s="87"/>
      <c r="V64" s="87"/>
      <c r="W64" s="63" t="s">
        <v>376</v>
      </c>
      <c r="X64" s="63" t="s">
        <v>377</v>
      </c>
      <c r="Y64" s="63" t="s">
        <v>161</v>
      </c>
      <c r="Z64" s="63" t="s">
        <v>433</v>
      </c>
      <c r="AA64" s="63"/>
    </row>
    <row r="65" s="28" customFormat="1" ht="106.5" spans="1:29">
      <c r="A65" s="63">
        <v>54</v>
      </c>
      <c r="B65" s="63" t="s">
        <v>542</v>
      </c>
      <c r="C65" s="63" t="s">
        <v>543</v>
      </c>
      <c r="D65" s="63" t="s">
        <v>33</v>
      </c>
      <c r="E65" s="63" t="s">
        <v>544</v>
      </c>
      <c r="F65" s="63" t="s">
        <v>38</v>
      </c>
      <c r="G65" s="63" t="s">
        <v>277</v>
      </c>
      <c r="H65" s="83" t="s">
        <v>887</v>
      </c>
      <c r="I65" s="82" t="s">
        <v>546</v>
      </c>
      <c r="J65" s="82">
        <v>10</v>
      </c>
      <c r="K65" s="65">
        <f>SUM(L65,T65:V65)</f>
        <v>500</v>
      </c>
      <c r="L65" s="65">
        <f>SUM(M65:S65)</f>
        <v>500</v>
      </c>
      <c r="M65" s="65">
        <v>500</v>
      </c>
      <c r="N65" s="86"/>
      <c r="O65" s="86">
        <v>0</v>
      </c>
      <c r="P65" s="86">
        <v>0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v>0</v>
      </c>
      <c r="W65" s="63" t="s">
        <v>376</v>
      </c>
      <c r="X65" s="63" t="s">
        <v>377</v>
      </c>
      <c r="Y65" s="63" t="s">
        <v>161</v>
      </c>
      <c r="Z65" s="63" t="s">
        <v>433</v>
      </c>
      <c r="AA65" s="63"/>
    </row>
    <row r="66" s="28" customFormat="1" ht="106.5" spans="1:29">
      <c r="A66" s="63">
        <v>55</v>
      </c>
      <c r="B66" s="63" t="s">
        <v>547</v>
      </c>
      <c r="C66" s="63" t="s">
        <v>548</v>
      </c>
      <c r="D66" s="63" t="s">
        <v>33</v>
      </c>
      <c r="E66" s="63" t="s">
        <v>544</v>
      </c>
      <c r="F66" s="63" t="s">
        <v>38</v>
      </c>
      <c r="G66" s="63" t="s">
        <v>277</v>
      </c>
      <c r="H66" s="83" t="s">
        <v>888</v>
      </c>
      <c r="I66" s="82" t="s">
        <v>550</v>
      </c>
      <c r="J66" s="82">
        <v>1</v>
      </c>
      <c r="K66" s="65">
        <f>SUM(L66,T66:V66)</f>
        <v>200</v>
      </c>
      <c r="L66" s="65">
        <f>SUM(M66:S66)</f>
        <v>200</v>
      </c>
      <c r="M66" s="65">
        <v>200</v>
      </c>
      <c r="N66" s="86"/>
      <c r="O66" s="86"/>
      <c r="P66" s="86"/>
      <c r="Q66" s="88"/>
      <c r="R66" s="88"/>
      <c r="S66" s="88"/>
      <c r="T66" s="88"/>
      <c r="U66" s="88"/>
      <c r="V66" s="88"/>
      <c r="W66" s="63" t="s">
        <v>376</v>
      </c>
      <c r="X66" s="63" t="s">
        <v>377</v>
      </c>
      <c r="Y66" s="63" t="s">
        <v>161</v>
      </c>
      <c r="Z66" s="63" t="s">
        <v>433</v>
      </c>
      <c r="AA66" s="63"/>
    </row>
    <row r="67" s="27" customFormat="1" ht="106.5" spans="1:29">
      <c r="A67" s="63">
        <v>56</v>
      </c>
      <c r="B67" s="63" t="s">
        <v>551</v>
      </c>
      <c r="C67" s="63" t="s">
        <v>552</v>
      </c>
      <c r="D67" s="63" t="s">
        <v>33</v>
      </c>
      <c r="E67" s="63" t="s">
        <v>211</v>
      </c>
      <c r="F67" s="63" t="s">
        <v>38</v>
      </c>
      <c r="G67" s="63" t="s">
        <v>285</v>
      </c>
      <c r="H67" s="83" t="s">
        <v>553</v>
      </c>
      <c r="I67" s="82" t="s">
        <v>554</v>
      </c>
      <c r="J67" s="82">
        <v>1</v>
      </c>
      <c r="K67" s="65">
        <f>SUM(L67,T67:V67)</f>
        <v>395</v>
      </c>
      <c r="L67" s="65">
        <f>SUM(M67:S67)</f>
        <v>395</v>
      </c>
      <c r="M67" s="65">
        <v>395</v>
      </c>
      <c r="N67" s="86"/>
      <c r="O67" s="86"/>
      <c r="P67" s="86"/>
      <c r="Q67" s="88"/>
      <c r="R67" s="88"/>
      <c r="S67" s="88"/>
      <c r="T67" s="88"/>
      <c r="U67" s="88"/>
      <c r="V67" s="88"/>
      <c r="W67" s="63" t="s">
        <v>151</v>
      </c>
      <c r="X67" s="63" t="s">
        <v>152</v>
      </c>
      <c r="Y67" s="63" t="s">
        <v>161</v>
      </c>
      <c r="Z67" s="63" t="s">
        <v>433</v>
      </c>
      <c r="AA67" s="63"/>
      <c r="AB67" s="28"/>
      <c r="AC67" s="28"/>
    </row>
    <row r="68" s="28" customFormat="1" ht="106.5" spans="1:29">
      <c r="A68" s="63">
        <v>57</v>
      </c>
      <c r="B68" s="63" t="s">
        <v>555</v>
      </c>
      <c r="C68" s="63" t="s">
        <v>556</v>
      </c>
      <c r="D68" s="63" t="s">
        <v>33</v>
      </c>
      <c r="E68" s="63" t="s">
        <v>544</v>
      </c>
      <c r="F68" s="63" t="s">
        <v>38</v>
      </c>
      <c r="G68" s="63" t="s">
        <v>277</v>
      </c>
      <c r="H68" s="83" t="s">
        <v>557</v>
      </c>
      <c r="I68" s="82" t="s">
        <v>558</v>
      </c>
      <c r="J68" s="82">
        <v>650</v>
      </c>
      <c r="K68" s="65">
        <f>SUM(L68,T68:V68)</f>
        <v>700</v>
      </c>
      <c r="L68" s="65">
        <f>SUM(M68:S68)</f>
        <v>700</v>
      </c>
      <c r="M68" s="65">
        <v>700</v>
      </c>
      <c r="N68" s="86"/>
      <c r="O68" s="86"/>
      <c r="P68" s="86"/>
      <c r="Q68" s="88"/>
      <c r="R68" s="88"/>
      <c r="S68" s="88"/>
      <c r="T68" s="88"/>
      <c r="U68" s="88"/>
      <c r="V68" s="88"/>
      <c r="W68" s="63" t="s">
        <v>376</v>
      </c>
      <c r="X68" s="63" t="s">
        <v>377</v>
      </c>
      <c r="Y68" s="63" t="s">
        <v>161</v>
      </c>
      <c r="Z68" s="63" t="s">
        <v>433</v>
      </c>
      <c r="AA68" s="63"/>
    </row>
    <row r="69" s="26" customFormat="1" ht="35.5" spans="1:29">
      <c r="A69" s="57" t="s">
        <v>559</v>
      </c>
      <c r="B69" s="57"/>
      <c r="C69" s="57"/>
      <c r="D69" s="58"/>
      <c r="E69" s="59"/>
      <c r="F69" s="59"/>
      <c r="G69" s="59"/>
      <c r="H69" s="59">
        <v>29</v>
      </c>
      <c r="I69" s="60"/>
      <c r="J69" s="60"/>
      <c r="K69" s="61">
        <f t="shared" ref="K69:V69" si="19">SUM(K70:K97)</f>
        <v>22373.3</v>
      </c>
      <c r="L69" s="61">
        <f t="shared" si="19"/>
        <v>22373.3</v>
      </c>
      <c r="M69" s="61">
        <f t="shared" si="19"/>
        <v>12402.5</v>
      </c>
      <c r="N69" s="61">
        <f t="shared" si="19"/>
        <v>7387.5</v>
      </c>
      <c r="O69" s="61">
        <f t="shared" si="19"/>
        <v>0</v>
      </c>
      <c r="P69" s="61">
        <f t="shared" si="19"/>
        <v>2583.3</v>
      </c>
      <c r="Q69" s="61">
        <f t="shared" si="19"/>
        <v>0</v>
      </c>
      <c r="R69" s="61">
        <f t="shared" si="19"/>
        <v>0</v>
      </c>
      <c r="S69" s="61">
        <f t="shared" si="19"/>
        <v>0</v>
      </c>
      <c r="T69" s="61">
        <f t="shared" si="19"/>
        <v>0</v>
      </c>
      <c r="U69" s="61">
        <f t="shared" si="19"/>
        <v>0</v>
      </c>
      <c r="V69" s="61">
        <f t="shared" si="19"/>
        <v>0</v>
      </c>
      <c r="W69" s="59"/>
      <c r="X69" s="59"/>
      <c r="Y69" s="62"/>
      <c r="Z69" s="62"/>
      <c r="AA69" s="62"/>
    </row>
    <row r="70" s="69" customFormat="1" ht="106.5" spans="1:29">
      <c r="A70" s="63">
        <v>58</v>
      </c>
      <c r="B70" s="63" t="s">
        <v>560</v>
      </c>
      <c r="C70" s="63" t="s">
        <v>561</v>
      </c>
      <c r="D70" s="63" t="s">
        <v>33</v>
      </c>
      <c r="E70" s="89" t="s">
        <v>562</v>
      </c>
      <c r="F70" s="89" t="s">
        <v>538</v>
      </c>
      <c r="G70" s="89" t="s">
        <v>563</v>
      </c>
      <c r="H70" s="83" t="s">
        <v>564</v>
      </c>
      <c r="I70" s="89" t="s">
        <v>165</v>
      </c>
      <c r="J70" s="89">
        <v>1</v>
      </c>
      <c r="K70" s="65">
        <f>SUM(L70,T70:V70)</f>
        <v>240</v>
      </c>
      <c r="L70" s="65">
        <f>SUM(M70:S70)</f>
        <v>240</v>
      </c>
      <c r="M70" s="89">
        <v>240</v>
      </c>
      <c r="N70" s="89"/>
      <c r="O70" s="89"/>
      <c r="P70" s="89"/>
      <c r="Q70" s="89"/>
      <c r="R70" s="89"/>
      <c r="S70" s="89"/>
      <c r="T70" s="89"/>
      <c r="U70" s="89"/>
      <c r="V70" s="89"/>
      <c r="W70" s="89" t="s">
        <v>77</v>
      </c>
      <c r="X70" s="63" t="s">
        <v>55</v>
      </c>
      <c r="Y70" s="63" t="s">
        <v>351</v>
      </c>
      <c r="Z70" s="63" t="s">
        <v>352</v>
      </c>
      <c r="AA70" s="89"/>
      <c r="AB70" s="89"/>
      <c r="AC70" s="90"/>
    </row>
    <row r="71" s="28" customFormat="1" ht="150" customHeight="1" spans="1:29">
      <c r="A71" s="63">
        <v>60</v>
      </c>
      <c r="B71" s="63" t="s">
        <v>577</v>
      </c>
      <c r="C71" s="63" t="s">
        <v>578</v>
      </c>
      <c r="D71" s="63" t="s">
        <v>33</v>
      </c>
      <c r="E71" s="63" t="s">
        <v>562</v>
      </c>
      <c r="F71" s="63" t="s">
        <v>38</v>
      </c>
      <c r="G71" s="63" t="s">
        <v>579</v>
      </c>
      <c r="H71" s="64" t="s">
        <v>580</v>
      </c>
      <c r="I71" s="91" t="s">
        <v>150</v>
      </c>
      <c r="J71" s="91">
        <v>10000</v>
      </c>
      <c r="K71" s="65">
        <f t="shared" ref="K71:K77" si="20">SUM(L71,T71:V71)</f>
        <v>2000</v>
      </c>
      <c r="L71" s="65">
        <f t="shared" ref="L71:L77" si="21">SUM(M71:S71)</f>
        <v>2000</v>
      </c>
      <c r="M71" s="65">
        <v>2000</v>
      </c>
      <c r="N71" s="65"/>
      <c r="O71" s="65"/>
      <c r="P71" s="65"/>
      <c r="Q71" s="63"/>
      <c r="R71" s="63"/>
      <c r="S71" s="63"/>
      <c r="T71" s="63"/>
      <c r="U71" s="63"/>
      <c r="V71" s="63"/>
      <c r="W71" s="63" t="s">
        <v>88</v>
      </c>
      <c r="X71" s="63" t="s">
        <v>89</v>
      </c>
      <c r="Y71" s="63" t="s">
        <v>144</v>
      </c>
      <c r="Z71" s="63" t="s">
        <v>145</v>
      </c>
      <c r="AA71" s="63"/>
    </row>
    <row r="72" s="28" customFormat="1" ht="157" customHeight="1" spans="1:29">
      <c r="A72" s="63">
        <v>61</v>
      </c>
      <c r="B72" s="63" t="s">
        <v>581</v>
      </c>
      <c r="C72" s="63" t="s">
        <v>582</v>
      </c>
      <c r="D72" s="63" t="s">
        <v>33</v>
      </c>
      <c r="E72" s="63" t="s">
        <v>562</v>
      </c>
      <c r="F72" s="63" t="s">
        <v>38</v>
      </c>
      <c r="G72" s="63" t="s">
        <v>579</v>
      </c>
      <c r="H72" s="64" t="s">
        <v>583</v>
      </c>
      <c r="I72" s="91" t="s">
        <v>150</v>
      </c>
      <c r="J72" s="91">
        <v>16000</v>
      </c>
      <c r="K72" s="65">
        <f t="shared" si="20"/>
        <v>2900</v>
      </c>
      <c r="L72" s="65">
        <f t="shared" si="21"/>
        <v>2900</v>
      </c>
      <c r="M72" s="65">
        <v>2900</v>
      </c>
      <c r="N72" s="65"/>
      <c r="O72" s="65"/>
      <c r="P72" s="65"/>
      <c r="Q72" s="63"/>
      <c r="R72" s="63"/>
      <c r="S72" s="63"/>
      <c r="T72" s="63"/>
      <c r="U72" s="63"/>
      <c r="V72" s="63"/>
      <c r="W72" s="63" t="s">
        <v>88</v>
      </c>
      <c r="X72" s="63" t="s">
        <v>89</v>
      </c>
      <c r="Y72" s="63" t="s">
        <v>144</v>
      </c>
      <c r="Z72" s="63" t="s">
        <v>145</v>
      </c>
      <c r="AA72" s="63"/>
    </row>
    <row r="73" s="28" customFormat="1" ht="256" customHeight="1" spans="1:29">
      <c r="A73" s="63">
        <v>62</v>
      </c>
      <c r="B73" s="63" t="s">
        <v>584</v>
      </c>
      <c r="C73" s="63" t="s">
        <v>585</v>
      </c>
      <c r="D73" s="63" t="s">
        <v>33</v>
      </c>
      <c r="E73" s="63" t="s">
        <v>533</v>
      </c>
      <c r="F73" s="63" t="s">
        <v>38</v>
      </c>
      <c r="G73" s="63" t="s">
        <v>586</v>
      </c>
      <c r="H73" s="64" t="s">
        <v>889</v>
      </c>
      <c r="I73" s="63" t="s">
        <v>150</v>
      </c>
      <c r="J73" s="63">
        <v>9600</v>
      </c>
      <c r="K73" s="65">
        <f t="shared" si="20"/>
        <v>790</v>
      </c>
      <c r="L73" s="65">
        <f t="shared" si="21"/>
        <v>790</v>
      </c>
      <c r="M73" s="65">
        <v>790</v>
      </c>
      <c r="N73" s="65"/>
      <c r="O73" s="65"/>
      <c r="P73" s="65"/>
      <c r="Q73" s="63"/>
      <c r="R73" s="63"/>
      <c r="S73" s="63"/>
      <c r="T73" s="63"/>
      <c r="U73" s="63"/>
      <c r="V73" s="63"/>
      <c r="W73" s="63" t="s">
        <v>84</v>
      </c>
      <c r="X73" s="63" t="s">
        <v>85</v>
      </c>
      <c r="Y73" s="63" t="s">
        <v>240</v>
      </c>
      <c r="Z73" s="63" t="s">
        <v>241</v>
      </c>
      <c r="AA73" s="63"/>
    </row>
    <row r="74" s="27" customFormat="1" ht="192" customHeight="1" spans="1:29">
      <c r="A74" s="63">
        <v>63</v>
      </c>
      <c r="B74" s="63" t="s">
        <v>588</v>
      </c>
      <c r="C74" s="63" t="s">
        <v>589</v>
      </c>
      <c r="D74" s="63" t="s">
        <v>33</v>
      </c>
      <c r="E74" s="63" t="s">
        <v>590</v>
      </c>
      <c r="F74" s="63" t="s">
        <v>38</v>
      </c>
      <c r="G74" s="63" t="s">
        <v>591</v>
      </c>
      <c r="H74" s="64" t="s">
        <v>592</v>
      </c>
      <c r="I74" s="63" t="s">
        <v>41</v>
      </c>
      <c r="J74" s="63">
        <v>200</v>
      </c>
      <c r="K74" s="65">
        <f t="shared" si="20"/>
        <v>295</v>
      </c>
      <c r="L74" s="65">
        <f t="shared" si="21"/>
        <v>295</v>
      </c>
      <c r="M74" s="65">
        <v>295</v>
      </c>
      <c r="N74" s="65"/>
      <c r="O74" s="65"/>
      <c r="P74" s="65"/>
      <c r="Q74" s="63"/>
      <c r="R74" s="63"/>
      <c r="S74" s="63"/>
      <c r="T74" s="63"/>
      <c r="U74" s="63"/>
      <c r="V74" s="63"/>
      <c r="W74" s="63" t="s">
        <v>84</v>
      </c>
      <c r="X74" s="63" t="s">
        <v>85</v>
      </c>
      <c r="Y74" s="63" t="s">
        <v>166</v>
      </c>
      <c r="Z74" s="63" t="s">
        <v>357</v>
      </c>
      <c r="AA74" s="63" t="s">
        <v>890</v>
      </c>
      <c r="AB74" s="28"/>
      <c r="AC74" s="28"/>
    </row>
    <row r="75" s="28" customFormat="1" ht="281" customHeight="1" spans="1:29">
      <c r="A75" s="63">
        <v>64</v>
      </c>
      <c r="B75" s="63" t="s">
        <v>593</v>
      </c>
      <c r="C75" s="63" t="s">
        <v>594</v>
      </c>
      <c r="D75" s="63" t="s">
        <v>33</v>
      </c>
      <c r="E75" s="63" t="s">
        <v>138</v>
      </c>
      <c r="F75" s="63" t="s">
        <v>38</v>
      </c>
      <c r="G75" s="63" t="s">
        <v>595</v>
      </c>
      <c r="H75" s="64" t="s">
        <v>596</v>
      </c>
      <c r="I75" s="63" t="s">
        <v>165</v>
      </c>
      <c r="J75" s="63">
        <v>1</v>
      </c>
      <c r="K75" s="65">
        <f t="shared" si="20"/>
        <v>270</v>
      </c>
      <c r="L75" s="65">
        <f t="shared" si="21"/>
        <v>270</v>
      </c>
      <c r="M75" s="65">
        <v>270</v>
      </c>
      <c r="N75" s="65"/>
      <c r="O75" s="65"/>
      <c r="P75" s="65"/>
      <c r="Q75" s="63"/>
      <c r="R75" s="63"/>
      <c r="S75" s="63"/>
      <c r="T75" s="63"/>
      <c r="U75" s="63"/>
      <c r="V75" s="63"/>
      <c r="W75" s="63" t="s">
        <v>42</v>
      </c>
      <c r="X75" s="63" t="s">
        <v>43</v>
      </c>
      <c r="Y75" s="63" t="s">
        <v>144</v>
      </c>
      <c r="Z75" s="63" t="s">
        <v>145</v>
      </c>
      <c r="AA75" s="63"/>
    </row>
    <row r="76" s="28" customFormat="1" ht="142" spans="1:29">
      <c r="A76" s="63">
        <v>65</v>
      </c>
      <c r="B76" s="63" t="s">
        <v>601</v>
      </c>
      <c r="C76" s="63" t="s">
        <v>602</v>
      </c>
      <c r="D76" s="63" t="s">
        <v>33</v>
      </c>
      <c r="E76" s="63" t="s">
        <v>574</v>
      </c>
      <c r="F76" s="63" t="s">
        <v>38</v>
      </c>
      <c r="G76" s="63" t="s">
        <v>603</v>
      </c>
      <c r="H76" s="64" t="s">
        <v>604</v>
      </c>
      <c r="I76" s="63" t="s">
        <v>165</v>
      </c>
      <c r="J76" s="63">
        <v>2</v>
      </c>
      <c r="K76" s="65">
        <f t="shared" si="20"/>
        <v>240</v>
      </c>
      <c r="L76" s="65">
        <f t="shared" si="21"/>
        <v>240</v>
      </c>
      <c r="M76" s="65">
        <v>240</v>
      </c>
      <c r="N76" s="65"/>
      <c r="O76" s="65"/>
      <c r="P76" s="65"/>
      <c r="Q76" s="63"/>
      <c r="R76" s="63"/>
      <c r="S76" s="63"/>
      <c r="T76" s="63"/>
      <c r="U76" s="63"/>
      <c r="V76" s="63"/>
      <c r="W76" s="63" t="s">
        <v>104</v>
      </c>
      <c r="X76" s="63" t="s">
        <v>105</v>
      </c>
      <c r="Y76" s="63" t="s">
        <v>144</v>
      </c>
      <c r="Z76" s="63" t="s">
        <v>145</v>
      </c>
      <c r="AA76" s="63"/>
    </row>
    <row r="77" s="28" customFormat="1" ht="148" customHeight="1" spans="1:29">
      <c r="A77" s="63">
        <v>66</v>
      </c>
      <c r="B77" s="63" t="s">
        <v>605</v>
      </c>
      <c r="C77" s="63" t="s">
        <v>606</v>
      </c>
      <c r="D77" s="63" t="s">
        <v>33</v>
      </c>
      <c r="E77" s="63" t="s">
        <v>138</v>
      </c>
      <c r="F77" s="92" t="s">
        <v>38</v>
      </c>
      <c r="G77" s="82" t="s">
        <v>139</v>
      </c>
      <c r="H77" s="83" t="s">
        <v>607</v>
      </c>
      <c r="I77" s="82" t="s">
        <v>150</v>
      </c>
      <c r="J77" s="82">
        <v>5000</v>
      </c>
      <c r="K77" s="65">
        <f t="shared" si="20"/>
        <v>395</v>
      </c>
      <c r="L77" s="65">
        <f t="shared" si="21"/>
        <v>395</v>
      </c>
      <c r="M77" s="65">
        <v>395</v>
      </c>
      <c r="N77" s="84"/>
      <c r="O77" s="84"/>
      <c r="P77" s="84"/>
      <c r="Q77" s="82"/>
      <c r="R77" s="82"/>
      <c r="S77" s="82"/>
      <c r="T77" s="82"/>
      <c r="U77" s="92"/>
      <c r="V77" s="92"/>
      <c r="W77" s="82" t="s">
        <v>142</v>
      </c>
      <c r="X77" s="63" t="s">
        <v>874</v>
      </c>
      <c r="Y77" s="63" t="s">
        <v>144</v>
      </c>
      <c r="Z77" s="63" t="s">
        <v>145</v>
      </c>
      <c r="AA77" s="63"/>
    </row>
    <row r="78" s="28" customFormat="1" ht="106.5" spans="1:29">
      <c r="A78" s="63">
        <v>67</v>
      </c>
      <c r="B78" s="63" t="s">
        <v>609</v>
      </c>
      <c r="C78" s="63" t="s">
        <v>610</v>
      </c>
      <c r="D78" s="63" t="s">
        <v>33</v>
      </c>
      <c r="E78" s="63" t="s">
        <v>37</v>
      </c>
      <c r="F78" s="92" t="s">
        <v>38</v>
      </c>
      <c r="G78" s="82" t="s">
        <v>611</v>
      </c>
      <c r="H78" s="83" t="s">
        <v>891</v>
      </c>
      <c r="I78" s="82" t="s">
        <v>41</v>
      </c>
      <c r="J78" s="82">
        <v>46</v>
      </c>
      <c r="K78" s="65">
        <f t="shared" ref="K78:K97" si="22">SUM(L78,T78:V78)</f>
        <v>390</v>
      </c>
      <c r="L78" s="65">
        <f t="shared" ref="L78:L97" si="23">SUM(M78:S78)</f>
        <v>390</v>
      </c>
      <c r="M78" s="65"/>
      <c r="N78" s="84"/>
      <c r="O78" s="84"/>
      <c r="P78" s="84">
        <v>390</v>
      </c>
      <c r="Q78" s="82"/>
      <c r="R78" s="82"/>
      <c r="S78" s="82"/>
      <c r="T78" s="82"/>
      <c r="U78" s="92"/>
      <c r="V78" s="92"/>
      <c r="W78" s="82" t="s">
        <v>58</v>
      </c>
      <c r="X78" s="63" t="s">
        <v>60</v>
      </c>
      <c r="Y78" s="63" t="s">
        <v>613</v>
      </c>
      <c r="Z78" s="63" t="s">
        <v>614</v>
      </c>
      <c r="AA78" s="63"/>
    </row>
    <row r="79" s="28" customFormat="1" ht="71" spans="1:29">
      <c r="A79" s="63">
        <v>68</v>
      </c>
      <c r="B79" s="63" t="s">
        <v>615</v>
      </c>
      <c r="C79" s="63" t="s">
        <v>616</v>
      </c>
      <c r="D79" s="63" t="s">
        <v>33</v>
      </c>
      <c r="E79" s="63" t="s">
        <v>37</v>
      </c>
      <c r="F79" s="92" t="s">
        <v>38</v>
      </c>
      <c r="G79" s="82" t="s">
        <v>254</v>
      </c>
      <c r="H79" s="83" t="s">
        <v>617</v>
      </c>
      <c r="I79" s="82" t="s">
        <v>165</v>
      </c>
      <c r="J79" s="82">
        <v>1</v>
      </c>
      <c r="K79" s="65">
        <f t="shared" si="22"/>
        <v>120</v>
      </c>
      <c r="L79" s="65">
        <f t="shared" si="23"/>
        <v>120</v>
      </c>
      <c r="M79" s="65"/>
      <c r="N79" s="84"/>
      <c r="O79" s="84"/>
      <c r="P79" s="84">
        <v>120</v>
      </c>
      <c r="Q79" s="82"/>
      <c r="R79" s="82"/>
      <c r="S79" s="82"/>
      <c r="T79" s="82"/>
      <c r="U79" s="92"/>
      <c r="V79" s="92"/>
      <c r="W79" s="82" t="s">
        <v>42</v>
      </c>
      <c r="X79" s="63" t="s">
        <v>43</v>
      </c>
      <c r="Y79" s="63" t="s">
        <v>613</v>
      </c>
      <c r="Z79" s="63" t="s">
        <v>614</v>
      </c>
      <c r="AA79" s="63"/>
    </row>
    <row r="80" s="27" customFormat="1" ht="142" spans="1:29">
      <c r="A80" s="63">
        <v>69</v>
      </c>
      <c r="B80" s="63" t="s">
        <v>618</v>
      </c>
      <c r="C80" s="63" t="s">
        <v>619</v>
      </c>
      <c r="D80" s="63" t="s">
        <v>33</v>
      </c>
      <c r="E80" s="63" t="s">
        <v>211</v>
      </c>
      <c r="F80" s="63" t="s">
        <v>38</v>
      </c>
      <c r="G80" s="63" t="s">
        <v>539</v>
      </c>
      <c r="H80" s="64" t="s">
        <v>892</v>
      </c>
      <c r="I80" s="82" t="s">
        <v>41</v>
      </c>
      <c r="J80" s="63">
        <v>46</v>
      </c>
      <c r="K80" s="65">
        <f t="shared" si="22"/>
        <v>395</v>
      </c>
      <c r="L80" s="65">
        <f t="shared" si="23"/>
        <v>395</v>
      </c>
      <c r="M80" s="65"/>
      <c r="N80" s="84">
        <v>395</v>
      </c>
      <c r="O80" s="84"/>
      <c r="P80" s="84"/>
      <c r="Q80" s="82"/>
      <c r="R80" s="82"/>
      <c r="S80" s="82"/>
      <c r="T80" s="82"/>
      <c r="U80" s="92"/>
      <c r="V80" s="92"/>
      <c r="W80" s="63" t="s">
        <v>44</v>
      </c>
      <c r="X80" s="63" t="s">
        <v>45</v>
      </c>
      <c r="Y80" s="63" t="s">
        <v>161</v>
      </c>
      <c r="Z80" s="63" t="s">
        <v>433</v>
      </c>
      <c r="AA80" s="63"/>
      <c r="AB80" s="28"/>
      <c r="AC80" s="28"/>
    </row>
    <row r="81" s="28" customFormat="1" ht="106.5" spans="1:27">
      <c r="A81" s="63">
        <v>70</v>
      </c>
      <c r="B81" s="63" t="s">
        <v>136</v>
      </c>
      <c r="C81" s="63" t="s">
        <v>621</v>
      </c>
      <c r="D81" s="63" t="s">
        <v>33</v>
      </c>
      <c r="E81" s="63" t="s">
        <v>211</v>
      </c>
      <c r="F81" s="63" t="s">
        <v>38</v>
      </c>
      <c r="G81" s="63" t="s">
        <v>539</v>
      </c>
      <c r="H81" s="64" t="s">
        <v>893</v>
      </c>
      <c r="I81" s="82" t="s">
        <v>160</v>
      </c>
      <c r="J81" s="63">
        <v>21</v>
      </c>
      <c r="K81" s="65">
        <f t="shared" si="22"/>
        <v>1700</v>
      </c>
      <c r="L81" s="65">
        <f t="shared" si="23"/>
        <v>1700</v>
      </c>
      <c r="M81" s="65"/>
      <c r="N81" s="65">
        <v>1700</v>
      </c>
      <c r="O81" s="65"/>
      <c r="P81" s="65"/>
      <c r="Q81" s="63"/>
      <c r="R81" s="63"/>
      <c r="S81" s="63"/>
      <c r="T81" s="63"/>
      <c r="U81" s="63"/>
      <c r="V81" s="63"/>
      <c r="W81" s="82" t="s">
        <v>376</v>
      </c>
      <c r="X81" s="63" t="s">
        <v>377</v>
      </c>
      <c r="Y81" s="82" t="s">
        <v>623</v>
      </c>
      <c r="Z81" s="63" t="s">
        <v>624</v>
      </c>
      <c r="AA81" s="63"/>
    </row>
    <row r="82" s="28" customFormat="1" ht="106.5" spans="1:27">
      <c r="A82" s="63">
        <v>71</v>
      </c>
      <c r="B82" s="63" t="s">
        <v>157</v>
      </c>
      <c r="C82" s="63" t="s">
        <v>625</v>
      </c>
      <c r="D82" s="63" t="s">
        <v>33</v>
      </c>
      <c r="E82" s="63" t="s">
        <v>37</v>
      </c>
      <c r="F82" s="63" t="s">
        <v>38</v>
      </c>
      <c r="G82" s="63" t="s">
        <v>42</v>
      </c>
      <c r="H82" s="64" t="s">
        <v>894</v>
      </c>
      <c r="I82" s="63" t="s">
        <v>160</v>
      </c>
      <c r="J82" s="63">
        <v>4</v>
      </c>
      <c r="K82" s="65">
        <f t="shared" si="22"/>
        <v>300</v>
      </c>
      <c r="L82" s="65">
        <f t="shared" si="23"/>
        <v>300</v>
      </c>
      <c r="M82" s="65"/>
      <c r="N82" s="65"/>
      <c r="O82" s="65"/>
      <c r="P82" s="65">
        <v>300</v>
      </c>
      <c r="Q82" s="63"/>
      <c r="R82" s="63"/>
      <c r="S82" s="63"/>
      <c r="T82" s="63"/>
      <c r="U82" s="63"/>
      <c r="V82" s="63"/>
      <c r="W82" s="63" t="s">
        <v>42</v>
      </c>
      <c r="X82" s="63" t="s">
        <v>43</v>
      </c>
      <c r="Y82" s="63" t="s">
        <v>623</v>
      </c>
      <c r="Z82" s="63" t="s">
        <v>624</v>
      </c>
      <c r="AA82" s="63"/>
    </row>
    <row r="83" s="28" customFormat="1" ht="71" spans="1:27">
      <c r="A83" s="63">
        <v>72</v>
      </c>
      <c r="B83" s="63" t="s">
        <v>627</v>
      </c>
      <c r="C83" s="63" t="s">
        <v>628</v>
      </c>
      <c r="D83" s="63" t="s">
        <v>33</v>
      </c>
      <c r="E83" s="63" t="s">
        <v>37</v>
      </c>
      <c r="F83" s="63" t="s">
        <v>38</v>
      </c>
      <c r="G83" s="63" t="s">
        <v>895</v>
      </c>
      <c r="H83" s="64" t="s">
        <v>896</v>
      </c>
      <c r="I83" s="63" t="s">
        <v>160</v>
      </c>
      <c r="J83" s="63">
        <v>5.5</v>
      </c>
      <c r="K83" s="65">
        <f t="shared" si="22"/>
        <v>395</v>
      </c>
      <c r="L83" s="65">
        <f t="shared" si="23"/>
        <v>395</v>
      </c>
      <c r="M83" s="65"/>
      <c r="N83" s="65">
        <v>395</v>
      </c>
      <c r="O83" s="65"/>
      <c r="P83" s="65"/>
      <c r="Q83" s="63"/>
      <c r="R83" s="63"/>
      <c r="S83" s="63"/>
      <c r="T83" s="63"/>
      <c r="U83" s="63"/>
      <c r="V83" s="63"/>
      <c r="W83" s="63" t="s">
        <v>190</v>
      </c>
      <c r="X83" s="63" t="s">
        <v>191</v>
      </c>
      <c r="Y83" s="63" t="s">
        <v>623</v>
      </c>
      <c r="Z83" s="63" t="s">
        <v>624</v>
      </c>
      <c r="AA83" s="63"/>
    </row>
    <row r="84" s="28" customFormat="1" ht="71" spans="1:27">
      <c r="A84" s="63">
        <v>73</v>
      </c>
      <c r="B84" s="63" t="s">
        <v>630</v>
      </c>
      <c r="C84" s="63" t="s">
        <v>631</v>
      </c>
      <c r="D84" s="63" t="s">
        <v>33</v>
      </c>
      <c r="E84" s="63" t="s">
        <v>37</v>
      </c>
      <c r="F84" s="63" t="s">
        <v>38</v>
      </c>
      <c r="G84" s="63" t="s">
        <v>48</v>
      </c>
      <c r="H84" s="64" t="s">
        <v>897</v>
      </c>
      <c r="I84" s="63" t="s">
        <v>160</v>
      </c>
      <c r="J84" s="63">
        <v>16</v>
      </c>
      <c r="K84" s="65">
        <f t="shared" si="22"/>
        <v>1200</v>
      </c>
      <c r="L84" s="65">
        <f t="shared" si="23"/>
        <v>1200</v>
      </c>
      <c r="M84" s="65"/>
      <c r="N84" s="65">
        <f>J84*75</f>
        <v>1200</v>
      </c>
      <c r="O84" s="65"/>
      <c r="P84" s="65"/>
      <c r="Q84" s="63"/>
      <c r="R84" s="63"/>
      <c r="S84" s="63"/>
      <c r="T84" s="63"/>
      <c r="U84" s="63"/>
      <c r="V84" s="63"/>
      <c r="W84" s="63" t="s">
        <v>48</v>
      </c>
      <c r="X84" s="63" t="s">
        <v>50</v>
      </c>
      <c r="Y84" s="63" t="s">
        <v>623</v>
      </c>
      <c r="Z84" s="63" t="s">
        <v>624</v>
      </c>
      <c r="AA84" s="63"/>
    </row>
    <row r="85" s="28" customFormat="1" ht="71" spans="1:27">
      <c r="A85" s="63">
        <v>74</v>
      </c>
      <c r="B85" s="63" t="s">
        <v>633</v>
      </c>
      <c r="C85" s="63" t="s">
        <v>634</v>
      </c>
      <c r="D85" s="63" t="s">
        <v>33</v>
      </c>
      <c r="E85" s="63" t="s">
        <v>37</v>
      </c>
      <c r="F85" s="63" t="s">
        <v>38</v>
      </c>
      <c r="G85" s="63" t="s">
        <v>53</v>
      </c>
      <c r="H85" s="64" t="s">
        <v>898</v>
      </c>
      <c r="I85" s="63" t="s">
        <v>160</v>
      </c>
      <c r="J85" s="63">
        <v>12</v>
      </c>
      <c r="K85" s="65">
        <f t="shared" si="22"/>
        <v>900</v>
      </c>
      <c r="L85" s="65">
        <f t="shared" si="23"/>
        <v>900</v>
      </c>
      <c r="M85" s="65"/>
      <c r="N85" s="65">
        <f>J85*75</f>
        <v>900</v>
      </c>
      <c r="O85" s="65"/>
      <c r="P85" s="65"/>
      <c r="Q85" s="63"/>
      <c r="R85" s="63"/>
      <c r="S85" s="63"/>
      <c r="T85" s="63"/>
      <c r="U85" s="63"/>
      <c r="V85" s="63"/>
      <c r="W85" s="63" t="s">
        <v>53</v>
      </c>
      <c r="X85" s="63" t="s">
        <v>864</v>
      </c>
      <c r="Y85" s="63" t="s">
        <v>623</v>
      </c>
      <c r="Z85" s="63" t="s">
        <v>624</v>
      </c>
      <c r="AA85" s="63"/>
    </row>
    <row r="86" s="28" customFormat="1" ht="121" customHeight="1" spans="1:27">
      <c r="A86" s="63">
        <v>75</v>
      </c>
      <c r="B86" s="63" t="s">
        <v>636</v>
      </c>
      <c r="C86" s="63" t="s">
        <v>637</v>
      </c>
      <c r="D86" s="63" t="s">
        <v>33</v>
      </c>
      <c r="E86" s="63" t="s">
        <v>37</v>
      </c>
      <c r="F86" s="63" t="s">
        <v>38</v>
      </c>
      <c r="G86" s="63" t="s">
        <v>173</v>
      </c>
      <c r="H86" s="64" t="s">
        <v>899</v>
      </c>
      <c r="I86" s="63" t="s">
        <v>160</v>
      </c>
      <c r="J86" s="63">
        <v>12.264</v>
      </c>
      <c r="K86" s="65">
        <f t="shared" si="22"/>
        <v>919.8</v>
      </c>
      <c r="L86" s="65">
        <f t="shared" si="23"/>
        <v>919.8</v>
      </c>
      <c r="M86" s="65"/>
      <c r="N86" s="65"/>
      <c r="O86" s="65"/>
      <c r="P86" s="65">
        <f>J86*75</f>
        <v>919.8</v>
      </c>
      <c r="Q86" s="63"/>
      <c r="R86" s="63"/>
      <c r="S86" s="63"/>
      <c r="T86" s="63"/>
      <c r="U86" s="63"/>
      <c r="V86" s="63"/>
      <c r="W86" s="63" t="s">
        <v>173</v>
      </c>
      <c r="X86" s="63" t="s">
        <v>174</v>
      </c>
      <c r="Y86" s="63" t="s">
        <v>623</v>
      </c>
      <c r="Z86" s="63" t="s">
        <v>624</v>
      </c>
      <c r="AA86" s="63"/>
    </row>
    <row r="87" s="28" customFormat="1" ht="106.5" spans="1:27">
      <c r="A87" s="63">
        <v>76</v>
      </c>
      <c r="B87" s="63" t="s">
        <v>639</v>
      </c>
      <c r="C87" s="63" t="s">
        <v>640</v>
      </c>
      <c r="D87" s="63" t="s">
        <v>33</v>
      </c>
      <c r="E87" s="63" t="s">
        <v>37</v>
      </c>
      <c r="F87" s="63" t="s">
        <v>38</v>
      </c>
      <c r="G87" s="63" t="s">
        <v>58</v>
      </c>
      <c r="H87" s="64" t="s">
        <v>641</v>
      </c>
      <c r="I87" s="63" t="s">
        <v>160</v>
      </c>
      <c r="J87" s="63">
        <v>5.5</v>
      </c>
      <c r="K87" s="65">
        <f t="shared" si="22"/>
        <v>412.5</v>
      </c>
      <c r="L87" s="65">
        <f t="shared" si="23"/>
        <v>412.5</v>
      </c>
      <c r="M87" s="65"/>
      <c r="N87" s="65"/>
      <c r="O87" s="65"/>
      <c r="P87" s="65">
        <f>J87*75</f>
        <v>412.5</v>
      </c>
      <c r="Q87" s="63"/>
      <c r="R87" s="63"/>
      <c r="S87" s="63"/>
      <c r="T87" s="63"/>
      <c r="U87" s="63"/>
      <c r="V87" s="63"/>
      <c r="W87" s="63" t="s">
        <v>58</v>
      </c>
      <c r="X87" s="63" t="s">
        <v>60</v>
      </c>
      <c r="Y87" s="63" t="s">
        <v>623</v>
      </c>
      <c r="Z87" s="63" t="s">
        <v>624</v>
      </c>
      <c r="AA87" s="63"/>
    </row>
    <row r="88" s="28" customFormat="1" ht="71" spans="1:27">
      <c r="A88" s="63">
        <v>77</v>
      </c>
      <c r="B88" s="63" t="s">
        <v>184</v>
      </c>
      <c r="C88" s="63" t="s">
        <v>642</v>
      </c>
      <c r="D88" s="63" t="s">
        <v>33</v>
      </c>
      <c r="E88" s="63" t="s">
        <v>37</v>
      </c>
      <c r="F88" s="63" t="s">
        <v>38</v>
      </c>
      <c r="G88" s="63" t="s">
        <v>643</v>
      </c>
      <c r="H88" s="64" t="s">
        <v>900</v>
      </c>
      <c r="I88" s="63" t="s">
        <v>160</v>
      </c>
      <c r="J88" s="63">
        <v>9</v>
      </c>
      <c r="K88" s="65">
        <f t="shared" si="22"/>
        <v>675</v>
      </c>
      <c r="L88" s="65">
        <f t="shared" si="23"/>
        <v>675</v>
      </c>
      <c r="M88" s="65"/>
      <c r="N88" s="65">
        <f>J88*75</f>
        <v>675</v>
      </c>
      <c r="O88" s="65"/>
      <c r="P88" s="65"/>
      <c r="Q88" s="63"/>
      <c r="R88" s="63"/>
      <c r="S88" s="63"/>
      <c r="T88" s="63"/>
      <c r="U88" s="63"/>
      <c r="V88" s="63"/>
      <c r="W88" s="63" t="s">
        <v>643</v>
      </c>
      <c r="X88" s="63" t="s">
        <v>901</v>
      </c>
      <c r="Y88" s="63" t="s">
        <v>623</v>
      </c>
      <c r="Z88" s="63" t="s">
        <v>624</v>
      </c>
      <c r="AA88" s="63"/>
    </row>
    <row r="89" s="28" customFormat="1" ht="128" customHeight="1" spans="1:27">
      <c r="A89" s="63">
        <v>78</v>
      </c>
      <c r="B89" s="63" t="s">
        <v>187</v>
      </c>
      <c r="C89" s="63" t="s">
        <v>645</v>
      </c>
      <c r="D89" s="63" t="s">
        <v>33</v>
      </c>
      <c r="E89" s="63" t="s">
        <v>37</v>
      </c>
      <c r="F89" s="63" t="s">
        <v>38</v>
      </c>
      <c r="G89" s="63" t="s">
        <v>63</v>
      </c>
      <c r="H89" s="64" t="s">
        <v>902</v>
      </c>
      <c r="I89" s="63" t="s">
        <v>160</v>
      </c>
      <c r="J89" s="63">
        <v>5.2</v>
      </c>
      <c r="K89" s="65">
        <f t="shared" si="22"/>
        <v>390</v>
      </c>
      <c r="L89" s="65">
        <f t="shared" si="23"/>
        <v>390</v>
      </c>
      <c r="M89" s="65"/>
      <c r="N89" s="65">
        <f>J89*75</f>
        <v>390</v>
      </c>
      <c r="O89" s="65"/>
      <c r="P89" s="65"/>
      <c r="Q89" s="63"/>
      <c r="R89" s="63"/>
      <c r="S89" s="63"/>
      <c r="T89" s="63"/>
      <c r="U89" s="63"/>
      <c r="V89" s="63"/>
      <c r="W89" s="63" t="s">
        <v>63</v>
      </c>
      <c r="X89" s="63" t="s">
        <v>65</v>
      </c>
      <c r="Y89" s="63" t="s">
        <v>623</v>
      </c>
      <c r="Z89" s="63" t="s">
        <v>624</v>
      </c>
      <c r="AA89" s="63"/>
    </row>
    <row r="90" s="28" customFormat="1" ht="71" spans="1:27">
      <c r="A90" s="63">
        <v>79</v>
      </c>
      <c r="B90" s="63" t="s">
        <v>206</v>
      </c>
      <c r="C90" s="63" t="s">
        <v>647</v>
      </c>
      <c r="D90" s="63" t="s">
        <v>33</v>
      </c>
      <c r="E90" s="63" t="s">
        <v>37</v>
      </c>
      <c r="F90" s="63" t="s">
        <v>38</v>
      </c>
      <c r="G90" s="63" t="s">
        <v>73</v>
      </c>
      <c r="H90" s="64" t="s">
        <v>903</v>
      </c>
      <c r="I90" s="63" t="s">
        <v>160</v>
      </c>
      <c r="J90" s="63">
        <v>15</v>
      </c>
      <c r="K90" s="65">
        <f t="shared" si="22"/>
        <v>1125</v>
      </c>
      <c r="L90" s="65">
        <f t="shared" si="23"/>
        <v>1125</v>
      </c>
      <c r="M90" s="65">
        <f>J90*75</f>
        <v>1125</v>
      </c>
      <c r="N90" s="65"/>
      <c r="O90" s="65"/>
      <c r="P90" s="65"/>
      <c r="Q90" s="63"/>
      <c r="R90" s="63"/>
      <c r="S90" s="63"/>
      <c r="T90" s="63"/>
      <c r="U90" s="63"/>
      <c r="V90" s="63"/>
      <c r="W90" s="63" t="s">
        <v>73</v>
      </c>
      <c r="X90" s="63" t="s">
        <v>74</v>
      </c>
      <c r="Y90" s="63" t="s">
        <v>623</v>
      </c>
      <c r="Z90" s="63" t="s">
        <v>624</v>
      </c>
      <c r="AA90" s="63"/>
    </row>
    <row r="91" s="28" customFormat="1" ht="71" spans="1:27">
      <c r="A91" s="63">
        <v>80</v>
      </c>
      <c r="B91" s="63" t="s">
        <v>202</v>
      </c>
      <c r="C91" s="63" t="s">
        <v>649</v>
      </c>
      <c r="D91" s="63" t="s">
        <v>33</v>
      </c>
      <c r="E91" s="63" t="s">
        <v>37</v>
      </c>
      <c r="F91" s="63" t="s">
        <v>38</v>
      </c>
      <c r="G91" s="63" t="s">
        <v>77</v>
      </c>
      <c r="H91" s="64" t="s">
        <v>904</v>
      </c>
      <c r="I91" s="63" t="s">
        <v>160</v>
      </c>
      <c r="J91" s="63">
        <v>20</v>
      </c>
      <c r="K91" s="65">
        <f t="shared" si="22"/>
        <v>1500</v>
      </c>
      <c r="L91" s="65">
        <f t="shared" si="23"/>
        <v>1500</v>
      </c>
      <c r="M91" s="65">
        <f>J91*75</f>
        <v>1500</v>
      </c>
      <c r="N91" s="65"/>
      <c r="O91" s="65"/>
      <c r="P91" s="65"/>
      <c r="Q91" s="63"/>
      <c r="R91" s="63"/>
      <c r="S91" s="63"/>
      <c r="T91" s="63"/>
      <c r="U91" s="63"/>
      <c r="V91" s="63"/>
      <c r="W91" s="63" t="s">
        <v>77</v>
      </c>
      <c r="X91" s="63" t="s">
        <v>55</v>
      </c>
      <c r="Y91" s="63" t="s">
        <v>623</v>
      </c>
      <c r="Z91" s="63" t="s">
        <v>624</v>
      </c>
      <c r="AA91" s="63"/>
    </row>
    <row r="92" s="28" customFormat="1" ht="71" spans="1:27">
      <c r="A92" s="63">
        <v>81</v>
      </c>
      <c r="B92" s="63" t="s">
        <v>199</v>
      </c>
      <c r="C92" s="63" t="s">
        <v>650</v>
      </c>
      <c r="D92" s="63" t="s">
        <v>33</v>
      </c>
      <c r="E92" s="63" t="s">
        <v>37</v>
      </c>
      <c r="F92" s="63" t="s">
        <v>38</v>
      </c>
      <c r="G92" s="63" t="s">
        <v>84</v>
      </c>
      <c r="H92" s="64" t="s">
        <v>905</v>
      </c>
      <c r="I92" s="63" t="s">
        <v>160</v>
      </c>
      <c r="J92" s="63">
        <v>23.1</v>
      </c>
      <c r="K92" s="65">
        <f t="shared" si="22"/>
        <v>1732.5</v>
      </c>
      <c r="L92" s="65">
        <f t="shared" si="23"/>
        <v>1732.5</v>
      </c>
      <c r="M92" s="65"/>
      <c r="N92" s="65">
        <v>1732.5</v>
      </c>
      <c r="O92" s="65"/>
      <c r="P92" s="65"/>
      <c r="Q92" s="63"/>
      <c r="R92" s="63"/>
      <c r="S92" s="63"/>
      <c r="T92" s="63"/>
      <c r="U92" s="63"/>
      <c r="V92" s="63"/>
      <c r="W92" s="63" t="s">
        <v>84</v>
      </c>
      <c r="X92" s="63" t="s">
        <v>85</v>
      </c>
      <c r="Y92" s="63" t="s">
        <v>623</v>
      </c>
      <c r="Z92" s="63" t="s">
        <v>624</v>
      </c>
      <c r="AA92" s="63"/>
    </row>
    <row r="93" s="28" customFormat="1" ht="71" spans="1:27">
      <c r="A93" s="63">
        <v>82</v>
      </c>
      <c r="B93" s="63" t="s">
        <v>654</v>
      </c>
      <c r="C93" s="63" t="s">
        <v>655</v>
      </c>
      <c r="D93" s="63" t="s">
        <v>33</v>
      </c>
      <c r="E93" s="63" t="s">
        <v>37</v>
      </c>
      <c r="F93" s="63" t="s">
        <v>38</v>
      </c>
      <c r="G93" s="63" t="s">
        <v>88</v>
      </c>
      <c r="H93" s="64" t="s">
        <v>906</v>
      </c>
      <c r="I93" s="63" t="s">
        <v>160</v>
      </c>
      <c r="J93" s="63">
        <v>5.3</v>
      </c>
      <c r="K93" s="65">
        <f t="shared" si="22"/>
        <v>397.5</v>
      </c>
      <c r="L93" s="65">
        <f t="shared" si="23"/>
        <v>397.5</v>
      </c>
      <c r="M93" s="65">
        <f>J93*75</f>
        <v>397.5</v>
      </c>
      <c r="N93" s="65"/>
      <c r="O93" s="65"/>
      <c r="P93" s="65"/>
      <c r="Q93" s="63"/>
      <c r="R93" s="63"/>
      <c r="S93" s="63"/>
      <c r="T93" s="63"/>
      <c r="U93" s="63"/>
      <c r="V93" s="63"/>
      <c r="W93" s="63" t="s">
        <v>88</v>
      </c>
      <c r="X93" s="63" t="s">
        <v>89</v>
      </c>
      <c r="Y93" s="63" t="s">
        <v>623</v>
      </c>
      <c r="Z93" s="63" t="s">
        <v>624</v>
      </c>
      <c r="AA93" s="63"/>
    </row>
    <row r="94" s="28" customFormat="1" ht="71" spans="1:27">
      <c r="A94" s="63">
        <v>83</v>
      </c>
      <c r="B94" s="63" t="s">
        <v>656</v>
      </c>
      <c r="C94" s="63" t="s">
        <v>657</v>
      </c>
      <c r="D94" s="63" t="s">
        <v>33</v>
      </c>
      <c r="E94" s="63" t="s">
        <v>37</v>
      </c>
      <c r="F94" s="63" t="s">
        <v>38</v>
      </c>
      <c r="G94" s="63" t="s">
        <v>104</v>
      </c>
      <c r="H94" s="64" t="s">
        <v>907</v>
      </c>
      <c r="I94" s="63" t="s">
        <v>160</v>
      </c>
      <c r="J94" s="63">
        <v>5</v>
      </c>
      <c r="K94" s="65">
        <f t="shared" si="22"/>
        <v>375</v>
      </c>
      <c r="L94" s="65">
        <f t="shared" si="23"/>
        <v>375</v>
      </c>
      <c r="M94" s="65">
        <f>J94*75</f>
        <v>375</v>
      </c>
      <c r="N94" s="65"/>
      <c r="O94" s="65"/>
      <c r="P94" s="65"/>
      <c r="Q94" s="63"/>
      <c r="R94" s="63"/>
      <c r="S94" s="63"/>
      <c r="T94" s="63"/>
      <c r="U94" s="63"/>
      <c r="V94" s="63"/>
      <c r="W94" s="63" t="s">
        <v>104</v>
      </c>
      <c r="X94" s="63" t="s">
        <v>105</v>
      </c>
      <c r="Y94" s="63" t="s">
        <v>623</v>
      </c>
      <c r="Z94" s="63" t="s">
        <v>624</v>
      </c>
      <c r="AA94" s="63"/>
    </row>
    <row r="95" s="28" customFormat="1" ht="71" spans="1:27">
      <c r="A95" s="63">
        <v>84</v>
      </c>
      <c r="B95" s="63" t="s">
        <v>659</v>
      </c>
      <c r="C95" s="63" t="s">
        <v>660</v>
      </c>
      <c r="D95" s="63" t="s">
        <v>33</v>
      </c>
      <c r="E95" s="63" t="s">
        <v>37</v>
      </c>
      <c r="F95" s="63" t="s">
        <v>38</v>
      </c>
      <c r="G95" s="63" t="s">
        <v>94</v>
      </c>
      <c r="H95" s="64" t="s">
        <v>903</v>
      </c>
      <c r="I95" s="63" t="s">
        <v>160</v>
      </c>
      <c r="J95" s="63">
        <v>15</v>
      </c>
      <c r="K95" s="65">
        <f t="shared" si="22"/>
        <v>1125</v>
      </c>
      <c r="L95" s="65">
        <f t="shared" si="23"/>
        <v>1125</v>
      </c>
      <c r="M95" s="65">
        <f>J95*75</f>
        <v>1125</v>
      </c>
      <c r="N95" s="65"/>
      <c r="O95" s="65"/>
      <c r="P95" s="65"/>
      <c r="Q95" s="63"/>
      <c r="R95" s="63"/>
      <c r="S95" s="63"/>
      <c r="T95" s="63"/>
      <c r="U95" s="63"/>
      <c r="V95" s="63"/>
      <c r="W95" s="63" t="s">
        <v>94</v>
      </c>
      <c r="X95" s="63" t="s">
        <v>96</v>
      </c>
      <c r="Y95" s="63" t="s">
        <v>623</v>
      </c>
      <c r="Z95" s="63" t="s">
        <v>624</v>
      </c>
      <c r="AA95" s="63"/>
    </row>
    <row r="96" s="28" customFormat="1" ht="71" spans="1:27">
      <c r="A96" s="63">
        <v>85</v>
      </c>
      <c r="B96" s="63" t="s">
        <v>661</v>
      </c>
      <c r="C96" s="63" t="s">
        <v>662</v>
      </c>
      <c r="D96" s="63" t="s">
        <v>33</v>
      </c>
      <c r="E96" s="63" t="s">
        <v>37</v>
      </c>
      <c r="F96" s="63" t="s">
        <v>38</v>
      </c>
      <c r="G96" s="63" t="s">
        <v>142</v>
      </c>
      <c r="H96" s="64" t="s">
        <v>908</v>
      </c>
      <c r="I96" s="63" t="s">
        <v>160</v>
      </c>
      <c r="J96" s="63">
        <v>6.3</v>
      </c>
      <c r="K96" s="65">
        <f t="shared" si="22"/>
        <v>441</v>
      </c>
      <c r="L96" s="65">
        <f t="shared" si="23"/>
        <v>441</v>
      </c>
      <c r="M96" s="65"/>
      <c r="N96" s="65"/>
      <c r="O96" s="65"/>
      <c r="P96" s="65">
        <v>441</v>
      </c>
      <c r="Q96" s="63"/>
      <c r="R96" s="63"/>
      <c r="S96" s="63"/>
      <c r="T96" s="63"/>
      <c r="U96" s="63"/>
      <c r="V96" s="63"/>
      <c r="W96" s="63" t="s">
        <v>142</v>
      </c>
      <c r="X96" s="63" t="s">
        <v>874</v>
      </c>
      <c r="Y96" s="63" t="s">
        <v>623</v>
      </c>
      <c r="Z96" s="63" t="s">
        <v>624</v>
      </c>
      <c r="AA96" s="63"/>
    </row>
    <row r="97" s="28" customFormat="1" ht="106.5" spans="1:27">
      <c r="A97" s="63">
        <v>86</v>
      </c>
      <c r="B97" s="63" t="s">
        <v>664</v>
      </c>
      <c r="C97" s="63" t="s">
        <v>665</v>
      </c>
      <c r="D97" s="63" t="s">
        <v>33</v>
      </c>
      <c r="E97" s="63" t="s">
        <v>37</v>
      </c>
      <c r="F97" s="63" t="s">
        <v>38</v>
      </c>
      <c r="G97" s="63" t="s">
        <v>909</v>
      </c>
      <c r="H97" s="64" t="s">
        <v>910</v>
      </c>
      <c r="I97" s="63" t="s">
        <v>160</v>
      </c>
      <c r="J97" s="63">
        <v>10</v>
      </c>
      <c r="K97" s="65">
        <f t="shared" si="22"/>
        <v>750</v>
      </c>
      <c r="L97" s="65">
        <f t="shared" si="23"/>
        <v>750</v>
      </c>
      <c r="M97" s="65">
        <v>750</v>
      </c>
      <c r="N97" s="65"/>
      <c r="O97" s="65"/>
      <c r="P97" s="65"/>
      <c r="Q97" s="63"/>
      <c r="R97" s="63"/>
      <c r="S97" s="63"/>
      <c r="T97" s="63"/>
      <c r="U97" s="63"/>
      <c r="V97" s="63"/>
      <c r="W97" s="63" t="s">
        <v>69</v>
      </c>
      <c r="X97" s="63" t="s">
        <v>115</v>
      </c>
      <c r="Y97" s="63" t="s">
        <v>623</v>
      </c>
      <c r="Z97" s="63" t="s">
        <v>624</v>
      </c>
      <c r="AA97" s="63"/>
    </row>
    <row r="98" s="26" customFormat="1" ht="35.5" spans="1:27">
      <c r="A98" s="59" t="s">
        <v>214</v>
      </c>
      <c r="B98" s="59" t="s">
        <v>215</v>
      </c>
      <c r="C98" s="59"/>
      <c r="D98" s="58"/>
      <c r="E98" s="59"/>
      <c r="F98" s="59"/>
      <c r="G98" s="59"/>
      <c r="H98" s="59">
        <v>7</v>
      </c>
      <c r="I98" s="60"/>
      <c r="J98" s="60">
        <f>K98/K7</f>
        <v>0.0630517690500504</v>
      </c>
      <c r="K98" s="61">
        <f t="shared" ref="K98:V98" si="24">SUM(K99:K105)</f>
        <v>5328.9</v>
      </c>
      <c r="L98" s="61">
        <f t="shared" si="24"/>
        <v>5264.7</v>
      </c>
      <c r="M98" s="61">
        <f t="shared" si="24"/>
        <v>450</v>
      </c>
      <c r="N98" s="61">
        <f t="shared" si="24"/>
        <v>4814.7</v>
      </c>
      <c r="O98" s="61">
        <f t="shared" si="24"/>
        <v>0</v>
      </c>
      <c r="P98" s="61">
        <f t="shared" si="24"/>
        <v>0</v>
      </c>
      <c r="Q98" s="61">
        <f t="shared" si="24"/>
        <v>0</v>
      </c>
      <c r="R98" s="61">
        <f t="shared" si="24"/>
        <v>0</v>
      </c>
      <c r="S98" s="61">
        <f t="shared" si="24"/>
        <v>0</v>
      </c>
      <c r="T98" s="61">
        <f t="shared" si="24"/>
        <v>0</v>
      </c>
      <c r="U98" s="61">
        <f t="shared" si="24"/>
        <v>64.2</v>
      </c>
      <c r="V98" s="61">
        <f t="shared" si="24"/>
        <v>0</v>
      </c>
      <c r="W98" s="59"/>
      <c r="X98" s="59"/>
      <c r="Y98" s="61"/>
      <c r="Z98" s="61"/>
      <c r="AA98" s="61"/>
    </row>
    <row r="99" s="70" customFormat="1" ht="133" customHeight="1" spans="1:27">
      <c r="A99" s="63">
        <v>87</v>
      </c>
      <c r="B99" s="63" t="s">
        <v>666</v>
      </c>
      <c r="C99" s="63" t="s">
        <v>667</v>
      </c>
      <c r="D99" s="63" t="s">
        <v>218</v>
      </c>
      <c r="E99" s="63" t="s">
        <v>668</v>
      </c>
      <c r="F99" s="82" t="s">
        <v>38</v>
      </c>
      <c r="G99" s="63" t="s">
        <v>277</v>
      </c>
      <c r="H99" s="64" t="s">
        <v>669</v>
      </c>
      <c r="I99" s="82" t="s">
        <v>541</v>
      </c>
      <c r="J99" s="82">
        <v>1579</v>
      </c>
      <c r="K99" s="65">
        <f t="shared" ref="K99:K105" si="25">SUM(L99,T99:V99)</f>
        <v>1894.8</v>
      </c>
      <c r="L99" s="65">
        <f t="shared" ref="L99:L105" si="26">SUM(M99:S99)</f>
        <v>1894.8</v>
      </c>
      <c r="M99" s="65"/>
      <c r="N99" s="84">
        <v>1894.8</v>
      </c>
      <c r="O99" s="84"/>
      <c r="P99" s="84"/>
      <c r="Q99" s="82"/>
      <c r="R99" s="82"/>
      <c r="S99" s="82"/>
      <c r="T99" s="82"/>
      <c r="U99" s="82"/>
      <c r="V99" s="82"/>
      <c r="W99" s="82" t="s">
        <v>256</v>
      </c>
      <c r="X99" s="82" t="s">
        <v>257</v>
      </c>
      <c r="Y99" s="82" t="s">
        <v>256</v>
      </c>
      <c r="Z99" s="82" t="s">
        <v>257</v>
      </c>
      <c r="AA99" s="63"/>
    </row>
    <row r="100" s="70" customFormat="1" ht="133" customHeight="1" spans="1:27">
      <c r="A100" s="63">
        <v>88</v>
      </c>
      <c r="B100" s="63" t="s">
        <v>195</v>
      </c>
      <c r="C100" s="63" t="s">
        <v>217</v>
      </c>
      <c r="D100" s="63" t="s">
        <v>218</v>
      </c>
      <c r="E100" s="63" t="s">
        <v>219</v>
      </c>
      <c r="F100" s="82" t="s">
        <v>38</v>
      </c>
      <c r="G100" s="63" t="s">
        <v>277</v>
      </c>
      <c r="H100" s="64" t="s">
        <v>670</v>
      </c>
      <c r="I100" s="63" t="s">
        <v>222</v>
      </c>
      <c r="J100" s="82">
        <v>1216</v>
      </c>
      <c r="K100" s="65">
        <f t="shared" si="25"/>
        <v>1276.8</v>
      </c>
      <c r="L100" s="65">
        <f t="shared" si="26"/>
        <v>1276.8</v>
      </c>
      <c r="M100" s="65"/>
      <c r="N100" s="84">
        <v>1276.8</v>
      </c>
      <c r="O100" s="84"/>
      <c r="P100" s="84"/>
      <c r="Q100" s="82"/>
      <c r="R100" s="82"/>
      <c r="S100" s="82"/>
      <c r="T100" s="82"/>
      <c r="U100" s="82"/>
      <c r="V100" s="82"/>
      <c r="W100" s="82" t="s">
        <v>223</v>
      </c>
      <c r="X100" s="63" t="s">
        <v>224</v>
      </c>
      <c r="Y100" s="82" t="s">
        <v>223</v>
      </c>
      <c r="Z100" s="63" t="s">
        <v>224</v>
      </c>
      <c r="AA100" s="63"/>
    </row>
    <row r="101" s="28" customFormat="1" ht="133" customHeight="1" spans="1:27">
      <c r="A101" s="63">
        <v>89</v>
      </c>
      <c r="B101" s="63" t="s">
        <v>671</v>
      </c>
      <c r="C101" s="63" t="s">
        <v>672</v>
      </c>
      <c r="D101" s="63" t="s">
        <v>218</v>
      </c>
      <c r="E101" s="63" t="s">
        <v>227</v>
      </c>
      <c r="F101" s="63" t="s">
        <v>38</v>
      </c>
      <c r="G101" s="63" t="s">
        <v>277</v>
      </c>
      <c r="H101" s="64" t="s">
        <v>911</v>
      </c>
      <c r="I101" s="63" t="s">
        <v>222</v>
      </c>
      <c r="J101" s="63">
        <v>2250</v>
      </c>
      <c r="K101" s="65">
        <f t="shared" si="25"/>
        <v>450</v>
      </c>
      <c r="L101" s="65">
        <f t="shared" si="26"/>
        <v>450</v>
      </c>
      <c r="M101" s="65">
        <v>450</v>
      </c>
      <c r="N101" s="65"/>
      <c r="O101" s="65"/>
      <c r="P101" s="65"/>
      <c r="Q101" s="63"/>
      <c r="R101" s="63"/>
      <c r="S101" s="63"/>
      <c r="T101" s="63"/>
      <c r="U101" s="63"/>
      <c r="V101" s="63"/>
      <c r="W101" s="63" t="s">
        <v>223</v>
      </c>
      <c r="X101" s="63" t="s">
        <v>224</v>
      </c>
      <c r="Y101" s="63" t="s">
        <v>223</v>
      </c>
      <c r="Z101" s="63" t="s">
        <v>224</v>
      </c>
      <c r="AA101" s="63"/>
    </row>
    <row r="102" s="28" customFormat="1" ht="133" customHeight="1" spans="1:27">
      <c r="A102" s="63">
        <v>90</v>
      </c>
      <c r="B102" s="63" t="s">
        <v>674</v>
      </c>
      <c r="C102" s="63" t="s">
        <v>226</v>
      </c>
      <c r="D102" s="63" t="s">
        <v>218</v>
      </c>
      <c r="E102" s="63" t="s">
        <v>227</v>
      </c>
      <c r="F102" s="63" t="s">
        <v>38</v>
      </c>
      <c r="G102" s="63" t="s">
        <v>277</v>
      </c>
      <c r="H102" s="64" t="s">
        <v>912</v>
      </c>
      <c r="I102" s="63" t="s">
        <v>222</v>
      </c>
      <c r="J102" s="63">
        <v>15033</v>
      </c>
      <c r="K102" s="65">
        <f t="shared" si="25"/>
        <v>1503.3</v>
      </c>
      <c r="L102" s="65">
        <f t="shared" si="26"/>
        <v>1503.3</v>
      </c>
      <c r="M102" s="65"/>
      <c r="N102" s="65">
        <v>1503.3</v>
      </c>
      <c r="O102" s="65"/>
      <c r="P102" s="65"/>
      <c r="Q102" s="63"/>
      <c r="R102" s="63"/>
      <c r="S102" s="63"/>
      <c r="T102" s="63"/>
      <c r="U102" s="63"/>
      <c r="V102" s="63"/>
      <c r="W102" s="63" t="s">
        <v>223</v>
      </c>
      <c r="X102" s="63" t="s">
        <v>224</v>
      </c>
      <c r="Y102" s="63" t="s">
        <v>223</v>
      </c>
      <c r="Z102" s="63" t="s">
        <v>224</v>
      </c>
      <c r="AA102" s="63"/>
    </row>
    <row r="103" s="28" customFormat="1" ht="133" customHeight="1" spans="1:27">
      <c r="A103" s="63">
        <v>91</v>
      </c>
      <c r="B103" s="63" t="s">
        <v>676</v>
      </c>
      <c r="C103" s="63" t="s">
        <v>230</v>
      </c>
      <c r="D103" s="63" t="s">
        <v>218</v>
      </c>
      <c r="E103" s="63" t="s">
        <v>227</v>
      </c>
      <c r="F103" s="63" t="s">
        <v>38</v>
      </c>
      <c r="G103" s="63" t="s">
        <v>277</v>
      </c>
      <c r="H103" s="64" t="s">
        <v>913</v>
      </c>
      <c r="I103" s="63" t="s">
        <v>222</v>
      </c>
      <c r="J103" s="63">
        <v>3210</v>
      </c>
      <c r="K103" s="65">
        <f t="shared" si="25"/>
        <v>64.2</v>
      </c>
      <c r="L103" s="65">
        <f t="shared" si="26"/>
        <v>0</v>
      </c>
      <c r="M103" s="65"/>
      <c r="N103" s="65"/>
      <c r="O103" s="65"/>
      <c r="P103" s="65"/>
      <c r="Q103" s="63"/>
      <c r="R103" s="63"/>
      <c r="S103" s="63"/>
      <c r="T103" s="63"/>
      <c r="U103" s="65">
        <v>64.2</v>
      </c>
      <c r="V103" s="63"/>
      <c r="W103" s="63" t="s">
        <v>223</v>
      </c>
      <c r="X103" s="63" t="s">
        <v>224</v>
      </c>
      <c r="Y103" s="63" t="s">
        <v>223</v>
      </c>
      <c r="Z103" s="63" t="s">
        <v>224</v>
      </c>
      <c r="AA103" s="63"/>
    </row>
    <row r="104" s="28" customFormat="1" ht="133" customHeight="1" spans="1:27">
      <c r="A104" s="63">
        <v>92</v>
      </c>
      <c r="B104" s="63" t="s">
        <v>677</v>
      </c>
      <c r="C104" s="63" t="s">
        <v>678</v>
      </c>
      <c r="D104" s="63" t="s">
        <v>218</v>
      </c>
      <c r="E104" s="63" t="s">
        <v>679</v>
      </c>
      <c r="F104" s="63" t="s">
        <v>38</v>
      </c>
      <c r="G104" s="63" t="s">
        <v>277</v>
      </c>
      <c r="H104" s="64" t="s">
        <v>914</v>
      </c>
      <c r="I104" s="63" t="s">
        <v>432</v>
      </c>
      <c r="J104" s="63">
        <v>561</v>
      </c>
      <c r="K104" s="65">
        <f t="shared" si="25"/>
        <v>112.2</v>
      </c>
      <c r="L104" s="65">
        <f t="shared" si="26"/>
        <v>112.2</v>
      </c>
      <c r="M104" s="65"/>
      <c r="N104" s="65">
        <v>112.2</v>
      </c>
      <c r="O104" s="65"/>
      <c r="P104" s="65"/>
      <c r="Q104" s="63"/>
      <c r="R104" s="63"/>
      <c r="S104" s="63"/>
      <c r="T104" s="63"/>
      <c r="U104" s="63"/>
      <c r="V104" s="63"/>
      <c r="W104" s="63" t="s">
        <v>223</v>
      </c>
      <c r="X104" s="63" t="s">
        <v>224</v>
      </c>
      <c r="Y104" s="63" t="s">
        <v>223</v>
      </c>
      <c r="Z104" s="63" t="s">
        <v>224</v>
      </c>
      <c r="AA104" s="63"/>
    </row>
    <row r="105" s="28" customFormat="1" ht="133" customHeight="1" spans="1:27">
      <c r="A105" s="63">
        <v>93</v>
      </c>
      <c r="B105" s="63" t="s">
        <v>681</v>
      </c>
      <c r="C105" s="63" t="s">
        <v>682</v>
      </c>
      <c r="D105" s="63" t="s">
        <v>218</v>
      </c>
      <c r="E105" s="63" t="s">
        <v>679</v>
      </c>
      <c r="F105" s="63" t="s">
        <v>38</v>
      </c>
      <c r="G105" s="63" t="s">
        <v>277</v>
      </c>
      <c r="H105" s="64" t="s">
        <v>915</v>
      </c>
      <c r="I105" s="63" t="s">
        <v>432</v>
      </c>
      <c r="J105" s="63">
        <v>276</v>
      </c>
      <c r="K105" s="65">
        <f t="shared" si="25"/>
        <v>27.6</v>
      </c>
      <c r="L105" s="65">
        <f t="shared" si="26"/>
        <v>27.6</v>
      </c>
      <c r="M105" s="65"/>
      <c r="N105" s="65">
        <v>27.6</v>
      </c>
      <c r="O105" s="65"/>
      <c r="P105" s="65"/>
      <c r="Q105" s="63"/>
      <c r="R105" s="63"/>
      <c r="S105" s="63"/>
      <c r="T105" s="63"/>
      <c r="U105" s="63"/>
      <c r="V105" s="63"/>
      <c r="W105" s="63" t="s">
        <v>223</v>
      </c>
      <c r="X105" s="63" t="s">
        <v>224</v>
      </c>
      <c r="Y105" s="63" t="s">
        <v>223</v>
      </c>
      <c r="Z105" s="63" t="s">
        <v>224</v>
      </c>
      <c r="AA105" s="63"/>
    </row>
    <row r="106" s="26" customFormat="1" ht="35.5" spans="1:27">
      <c r="A106" s="59" t="s">
        <v>232</v>
      </c>
      <c r="B106" s="59" t="s">
        <v>233</v>
      </c>
      <c r="C106" s="59"/>
      <c r="D106" s="58"/>
      <c r="E106" s="59"/>
      <c r="F106" s="59"/>
      <c r="G106" s="59"/>
      <c r="H106" s="59">
        <f>SUBTOTAL(9,H107,H110,H119,H122)</f>
        <v>27</v>
      </c>
      <c r="I106" s="60"/>
      <c r="J106" s="60">
        <f>K106/K7</f>
        <v>0.175784034713856</v>
      </c>
      <c r="K106" s="61">
        <f t="shared" ref="K106:V106" si="27">SUM(K107,K110,K119,K122)</f>
        <v>14856.61</v>
      </c>
      <c r="L106" s="61">
        <f t="shared" si="27"/>
        <v>12856.61</v>
      </c>
      <c r="M106" s="61">
        <f t="shared" si="27"/>
        <v>1380</v>
      </c>
      <c r="N106" s="61">
        <f t="shared" si="27"/>
        <v>5133.61</v>
      </c>
      <c r="O106" s="61">
        <f t="shared" si="27"/>
        <v>5481</v>
      </c>
      <c r="P106" s="61">
        <f t="shared" si="27"/>
        <v>862</v>
      </c>
      <c r="Q106" s="61">
        <f t="shared" si="27"/>
        <v>0</v>
      </c>
      <c r="R106" s="61">
        <f t="shared" si="27"/>
        <v>0</v>
      </c>
      <c r="S106" s="61">
        <f t="shared" si="27"/>
        <v>0</v>
      </c>
      <c r="T106" s="61">
        <f t="shared" si="27"/>
        <v>2000</v>
      </c>
      <c r="U106" s="61">
        <f t="shared" si="27"/>
        <v>0</v>
      </c>
      <c r="V106" s="61">
        <f t="shared" si="27"/>
        <v>0</v>
      </c>
      <c r="W106" s="59"/>
      <c r="X106" s="59"/>
      <c r="Y106" s="61"/>
      <c r="Z106" s="61"/>
      <c r="AA106" s="61"/>
    </row>
    <row r="107" s="26" customFormat="1" ht="35.5" spans="1:27">
      <c r="A107" s="57" t="s">
        <v>684</v>
      </c>
      <c r="B107" s="57"/>
      <c r="C107" s="57"/>
      <c r="D107" s="58"/>
      <c r="E107" s="59"/>
      <c r="F107" s="59"/>
      <c r="G107" s="59"/>
      <c r="H107" s="59">
        <v>2</v>
      </c>
      <c r="I107" s="60"/>
      <c r="J107" s="60"/>
      <c r="K107" s="61">
        <f t="shared" ref="K107:T107" si="28">SUM(K108:K109)</f>
        <v>4870</v>
      </c>
      <c r="L107" s="61">
        <f t="shared" si="28"/>
        <v>2870</v>
      </c>
      <c r="M107" s="61">
        <f t="shared" si="28"/>
        <v>0</v>
      </c>
      <c r="N107" s="61">
        <f t="shared" si="28"/>
        <v>2870</v>
      </c>
      <c r="O107" s="61">
        <f t="shared" si="28"/>
        <v>0</v>
      </c>
      <c r="P107" s="61">
        <f t="shared" si="28"/>
        <v>0</v>
      </c>
      <c r="Q107" s="61">
        <f t="shared" si="28"/>
        <v>0</v>
      </c>
      <c r="R107" s="61">
        <f t="shared" si="28"/>
        <v>0</v>
      </c>
      <c r="S107" s="61">
        <f t="shared" si="28"/>
        <v>0</v>
      </c>
      <c r="T107" s="61">
        <f t="shared" si="28"/>
        <v>2000</v>
      </c>
      <c r="U107" s="61">
        <f>SUM(U108:U117)</f>
        <v>0</v>
      </c>
      <c r="V107" s="61">
        <f>SUM(V108:V117)</f>
        <v>0</v>
      </c>
      <c r="W107" s="59"/>
      <c r="X107" s="59"/>
      <c r="Y107" s="62"/>
      <c r="Z107" s="62"/>
      <c r="AA107" s="62"/>
    </row>
    <row r="108" s="28" customFormat="1" ht="319.5" spans="1:27">
      <c r="A108" s="63">
        <v>94</v>
      </c>
      <c r="B108" s="63" t="s">
        <v>216</v>
      </c>
      <c r="C108" s="63" t="s">
        <v>685</v>
      </c>
      <c r="D108" s="63" t="s">
        <v>233</v>
      </c>
      <c r="E108" s="63" t="s">
        <v>686</v>
      </c>
      <c r="F108" s="63" t="s">
        <v>38</v>
      </c>
      <c r="G108" s="63" t="s">
        <v>687</v>
      </c>
      <c r="H108" s="64" t="s">
        <v>688</v>
      </c>
      <c r="I108" s="63" t="s">
        <v>41</v>
      </c>
      <c r="J108" s="63">
        <v>320</v>
      </c>
      <c r="K108" s="65">
        <f>SUM(L108,T108:V108)</f>
        <v>2000</v>
      </c>
      <c r="L108" s="65">
        <f>SUM(M108:S108)</f>
        <v>1000</v>
      </c>
      <c r="M108" s="65"/>
      <c r="N108" s="65">
        <v>1000</v>
      </c>
      <c r="O108" s="65"/>
      <c r="P108" s="65"/>
      <c r="Q108" s="63"/>
      <c r="R108" s="63"/>
      <c r="S108" s="63"/>
      <c r="T108" s="63">
        <v>1000</v>
      </c>
      <c r="U108" s="63" t="s">
        <v>190</v>
      </c>
      <c r="V108" s="63"/>
      <c r="W108" s="63" t="s">
        <v>84</v>
      </c>
      <c r="X108" s="63" t="s">
        <v>85</v>
      </c>
      <c r="Y108" s="63" t="s">
        <v>689</v>
      </c>
      <c r="Z108" s="81" t="s">
        <v>690</v>
      </c>
      <c r="AA108" s="63"/>
    </row>
    <row r="109" s="28" customFormat="1" ht="285" customHeight="1" spans="1:27">
      <c r="A109" s="63">
        <v>95</v>
      </c>
      <c r="B109" s="63" t="s">
        <v>691</v>
      </c>
      <c r="C109" s="63" t="s">
        <v>692</v>
      </c>
      <c r="D109" s="63" t="s">
        <v>233</v>
      </c>
      <c r="E109" s="63" t="s">
        <v>686</v>
      </c>
      <c r="F109" s="63" t="s">
        <v>38</v>
      </c>
      <c r="G109" s="63" t="s">
        <v>171</v>
      </c>
      <c r="H109" s="64" t="s">
        <v>694</v>
      </c>
      <c r="I109" s="63" t="s">
        <v>41</v>
      </c>
      <c r="J109" s="63">
        <v>170</v>
      </c>
      <c r="K109" s="65">
        <f>SUM(L109,T109:V109)</f>
        <v>2870</v>
      </c>
      <c r="L109" s="65">
        <f>SUM(M109:S109)</f>
        <v>1870</v>
      </c>
      <c r="M109" s="65"/>
      <c r="N109" s="65">
        <v>1870</v>
      </c>
      <c r="O109" s="65"/>
      <c r="P109" s="65"/>
      <c r="Q109" s="63"/>
      <c r="R109" s="63"/>
      <c r="S109" s="63"/>
      <c r="T109" s="63">
        <v>1000</v>
      </c>
      <c r="U109" s="63" t="s">
        <v>173</v>
      </c>
      <c r="V109" s="63"/>
      <c r="W109" s="63" t="s">
        <v>173</v>
      </c>
      <c r="X109" s="63" t="s">
        <v>174</v>
      </c>
      <c r="Y109" s="63" t="s">
        <v>689</v>
      </c>
      <c r="Z109" s="81" t="s">
        <v>690</v>
      </c>
      <c r="AA109" s="63"/>
    </row>
    <row r="110" s="26" customFormat="1" ht="35.5" spans="1:27">
      <c r="A110" s="57" t="s">
        <v>695</v>
      </c>
      <c r="B110" s="57"/>
      <c r="C110" s="57"/>
      <c r="D110" s="58"/>
      <c r="E110" s="59"/>
      <c r="F110" s="59"/>
      <c r="G110" s="59"/>
      <c r="H110" s="59">
        <v>7</v>
      </c>
      <c r="I110" s="60"/>
      <c r="J110" s="60"/>
      <c r="K110" s="61">
        <f t="shared" ref="K110:V110" si="29">SUM(K111:K118)</f>
        <v>2522</v>
      </c>
      <c r="L110" s="61">
        <f t="shared" si="29"/>
        <v>2522</v>
      </c>
      <c r="M110" s="61">
        <f t="shared" si="29"/>
        <v>1380</v>
      </c>
      <c r="N110" s="61">
        <f t="shared" si="29"/>
        <v>280</v>
      </c>
      <c r="O110" s="61">
        <f t="shared" si="29"/>
        <v>0</v>
      </c>
      <c r="P110" s="61">
        <f t="shared" si="29"/>
        <v>862</v>
      </c>
      <c r="Q110" s="61">
        <f t="shared" si="29"/>
        <v>0</v>
      </c>
      <c r="R110" s="61">
        <f t="shared" si="29"/>
        <v>0</v>
      </c>
      <c r="S110" s="61">
        <f t="shared" si="29"/>
        <v>0</v>
      </c>
      <c r="T110" s="61">
        <f t="shared" si="29"/>
        <v>0</v>
      </c>
      <c r="U110" s="61">
        <f t="shared" si="29"/>
        <v>0</v>
      </c>
      <c r="V110" s="61">
        <f t="shared" si="29"/>
        <v>0</v>
      </c>
      <c r="W110" s="59"/>
      <c r="X110" s="59"/>
      <c r="Y110" s="62"/>
      <c r="Z110" s="62"/>
      <c r="AA110" s="62"/>
    </row>
    <row r="111" s="28" customFormat="1" ht="147" customHeight="1" spans="1:27">
      <c r="A111" s="63">
        <v>96</v>
      </c>
      <c r="B111" s="63" t="s">
        <v>225</v>
      </c>
      <c r="C111" s="63" t="s">
        <v>696</v>
      </c>
      <c r="D111" s="63" t="s">
        <v>233</v>
      </c>
      <c r="E111" s="63" t="s">
        <v>247</v>
      </c>
      <c r="F111" s="63" t="s">
        <v>38</v>
      </c>
      <c r="G111" s="63" t="s">
        <v>697</v>
      </c>
      <c r="H111" s="83" t="s">
        <v>698</v>
      </c>
      <c r="I111" s="63" t="s">
        <v>150</v>
      </c>
      <c r="J111" s="63">
        <v>5000</v>
      </c>
      <c r="K111" s="65">
        <f t="shared" ref="K111:K117" si="30">SUM(L111,T111:V111)</f>
        <v>80</v>
      </c>
      <c r="L111" s="65">
        <f t="shared" ref="L111:L118" si="31">SUM(M111:S111)</f>
        <v>80</v>
      </c>
      <c r="M111" s="65"/>
      <c r="N111" s="65">
        <v>80</v>
      </c>
      <c r="O111" s="65"/>
      <c r="P111" s="65"/>
      <c r="Q111" s="63"/>
      <c r="R111" s="63"/>
      <c r="S111" s="63"/>
      <c r="T111" s="63"/>
      <c r="U111" s="63"/>
      <c r="V111" s="63"/>
      <c r="W111" s="63" t="s">
        <v>575</v>
      </c>
      <c r="X111" s="63" t="s">
        <v>916</v>
      </c>
      <c r="Y111" s="63" t="s">
        <v>256</v>
      </c>
      <c r="Z111" s="63" t="s">
        <v>257</v>
      </c>
      <c r="AA111" s="63"/>
    </row>
    <row r="112" s="28" customFormat="1" ht="147" customHeight="1" spans="1:27">
      <c r="A112" s="63">
        <v>97</v>
      </c>
      <c r="B112" s="63" t="s">
        <v>699</v>
      </c>
      <c r="C112" s="63" t="s">
        <v>700</v>
      </c>
      <c r="D112" s="63" t="s">
        <v>233</v>
      </c>
      <c r="E112" s="63" t="s">
        <v>247</v>
      </c>
      <c r="F112" s="63" t="s">
        <v>38</v>
      </c>
      <c r="G112" s="63" t="s">
        <v>701</v>
      </c>
      <c r="H112" s="83" t="s">
        <v>702</v>
      </c>
      <c r="I112" s="63" t="s">
        <v>150</v>
      </c>
      <c r="J112" s="63">
        <v>14000</v>
      </c>
      <c r="K112" s="65">
        <f t="shared" si="30"/>
        <v>240</v>
      </c>
      <c r="L112" s="65">
        <f t="shared" si="31"/>
        <v>240</v>
      </c>
      <c r="M112" s="65">
        <v>240</v>
      </c>
      <c r="N112" s="65"/>
      <c r="O112" s="65"/>
      <c r="P112" s="65"/>
      <c r="Q112" s="63"/>
      <c r="R112" s="63"/>
      <c r="S112" s="63"/>
      <c r="T112" s="63"/>
      <c r="U112" s="63"/>
      <c r="V112" s="63"/>
      <c r="W112" s="63" t="s">
        <v>84</v>
      </c>
      <c r="X112" s="63" t="s">
        <v>85</v>
      </c>
      <c r="Y112" s="63" t="s">
        <v>256</v>
      </c>
      <c r="Z112" s="63" t="s">
        <v>257</v>
      </c>
      <c r="AA112" s="63"/>
    </row>
    <row r="113" s="28" customFormat="1" ht="133" customHeight="1" spans="1:29">
      <c r="A113" s="63">
        <v>98</v>
      </c>
      <c r="B113" s="63" t="s">
        <v>703</v>
      </c>
      <c r="C113" s="63" t="s">
        <v>704</v>
      </c>
      <c r="D113" s="63" t="s">
        <v>233</v>
      </c>
      <c r="E113" s="63" t="s">
        <v>247</v>
      </c>
      <c r="F113" s="63" t="s">
        <v>38</v>
      </c>
      <c r="G113" s="63" t="s">
        <v>705</v>
      </c>
      <c r="H113" s="83" t="s">
        <v>706</v>
      </c>
      <c r="I113" s="63" t="s">
        <v>160</v>
      </c>
      <c r="J113" s="63">
        <v>5.5</v>
      </c>
      <c r="K113" s="65">
        <f t="shared" si="30"/>
        <v>395</v>
      </c>
      <c r="L113" s="65">
        <f t="shared" si="31"/>
        <v>395</v>
      </c>
      <c r="M113" s="65"/>
      <c r="N113" s="65"/>
      <c r="O113" s="65"/>
      <c r="P113" s="65">
        <v>395</v>
      </c>
      <c r="Q113" s="63"/>
      <c r="R113" s="63"/>
      <c r="S113" s="63"/>
      <c r="T113" s="63"/>
      <c r="U113" s="63"/>
      <c r="V113" s="63"/>
      <c r="W113" s="63" t="s">
        <v>58</v>
      </c>
      <c r="X113" s="63" t="s">
        <v>60</v>
      </c>
      <c r="Y113" s="63" t="s">
        <v>256</v>
      </c>
      <c r="Z113" s="63" t="s">
        <v>257</v>
      </c>
      <c r="AA113" s="63"/>
    </row>
    <row r="114" s="28" customFormat="1" ht="133" customHeight="1" spans="1:29">
      <c r="A114" s="63"/>
      <c r="B114" s="63" t="s">
        <v>265</v>
      </c>
      <c r="C114" s="63" t="s">
        <v>707</v>
      </c>
      <c r="D114" s="63" t="s">
        <v>233</v>
      </c>
      <c r="E114" s="63" t="s">
        <v>247</v>
      </c>
      <c r="F114" s="63" t="s">
        <v>38</v>
      </c>
      <c r="G114" s="63" t="s">
        <v>708</v>
      </c>
      <c r="H114" s="83" t="s">
        <v>709</v>
      </c>
      <c r="I114" s="63" t="s">
        <v>160</v>
      </c>
      <c r="J114" s="63">
        <v>5.3</v>
      </c>
      <c r="K114" s="65">
        <f t="shared" si="30"/>
        <v>360</v>
      </c>
      <c r="L114" s="65">
        <f t="shared" si="31"/>
        <v>360</v>
      </c>
      <c r="M114" s="65">
        <v>360</v>
      </c>
      <c r="N114" s="65"/>
      <c r="O114" s="65"/>
      <c r="P114" s="65"/>
      <c r="Q114" s="63"/>
      <c r="R114" s="63"/>
      <c r="S114" s="63"/>
      <c r="T114" s="63"/>
      <c r="U114" s="63"/>
      <c r="V114" s="63"/>
      <c r="W114" s="63" t="s">
        <v>73</v>
      </c>
      <c r="X114" s="63" t="s">
        <v>74</v>
      </c>
      <c r="Y114" s="63" t="s">
        <v>256</v>
      </c>
      <c r="Z114" s="63" t="s">
        <v>257</v>
      </c>
      <c r="AA114" s="63"/>
    </row>
    <row r="115" s="28" customFormat="1" ht="118" customHeight="1" spans="1:29">
      <c r="A115" s="63">
        <v>99</v>
      </c>
      <c r="B115" s="63" t="s">
        <v>710</v>
      </c>
      <c r="C115" s="63" t="s">
        <v>711</v>
      </c>
      <c r="D115" s="63" t="s">
        <v>233</v>
      </c>
      <c r="E115" s="63" t="s">
        <v>247</v>
      </c>
      <c r="F115" s="63" t="s">
        <v>38</v>
      </c>
      <c r="G115" s="63" t="s">
        <v>42</v>
      </c>
      <c r="H115" s="83" t="s">
        <v>712</v>
      </c>
      <c r="I115" s="63" t="s">
        <v>165</v>
      </c>
      <c r="J115" s="63">
        <v>3</v>
      </c>
      <c r="K115" s="65">
        <f t="shared" si="30"/>
        <v>80</v>
      </c>
      <c r="L115" s="65">
        <f t="shared" si="31"/>
        <v>80</v>
      </c>
      <c r="M115" s="65"/>
      <c r="N115" s="65"/>
      <c r="O115" s="65"/>
      <c r="P115" s="65">
        <v>80</v>
      </c>
      <c r="Q115" s="63"/>
      <c r="R115" s="63"/>
      <c r="S115" s="63"/>
      <c r="T115" s="63"/>
      <c r="U115" s="63"/>
      <c r="V115" s="63"/>
      <c r="W115" s="63" t="s">
        <v>42</v>
      </c>
      <c r="X115" s="63" t="s">
        <v>43</v>
      </c>
      <c r="Y115" s="63" t="s">
        <v>256</v>
      </c>
      <c r="Z115" s="63" t="s">
        <v>257</v>
      </c>
      <c r="AA115" s="63"/>
    </row>
    <row r="116" s="27" customFormat="1" ht="147" customHeight="1" spans="1:29">
      <c r="A116" s="63">
        <v>100</v>
      </c>
      <c r="B116" s="63" t="s">
        <v>713</v>
      </c>
      <c r="C116" s="63" t="s">
        <v>714</v>
      </c>
      <c r="D116" s="63" t="s">
        <v>233</v>
      </c>
      <c r="E116" s="63" t="s">
        <v>247</v>
      </c>
      <c r="F116" s="63" t="s">
        <v>38</v>
      </c>
      <c r="G116" s="63" t="s">
        <v>715</v>
      </c>
      <c r="H116" s="83" t="s">
        <v>716</v>
      </c>
      <c r="I116" s="63" t="s">
        <v>165</v>
      </c>
      <c r="J116" s="63">
        <v>2</v>
      </c>
      <c r="K116" s="65">
        <f t="shared" si="30"/>
        <v>387</v>
      </c>
      <c r="L116" s="65">
        <f t="shared" si="31"/>
        <v>387</v>
      </c>
      <c r="M116" s="65"/>
      <c r="N116" s="65"/>
      <c r="O116" s="65"/>
      <c r="P116" s="65">
        <v>387</v>
      </c>
      <c r="Q116" s="63"/>
      <c r="R116" s="63"/>
      <c r="S116" s="63"/>
      <c r="T116" s="63"/>
      <c r="U116" s="63"/>
      <c r="V116" s="63"/>
      <c r="W116" s="63" t="s">
        <v>42</v>
      </c>
      <c r="X116" s="63" t="s">
        <v>43</v>
      </c>
      <c r="Y116" s="63" t="s">
        <v>623</v>
      </c>
      <c r="Z116" s="63" t="s">
        <v>624</v>
      </c>
      <c r="AA116" s="63"/>
      <c r="AB116" s="28"/>
      <c r="AC116" s="28"/>
    </row>
    <row r="117" s="28" customFormat="1" ht="222" customHeight="1" spans="1:29">
      <c r="A117" s="63">
        <v>101</v>
      </c>
      <c r="B117" s="63" t="s">
        <v>717</v>
      </c>
      <c r="C117" s="63" t="s">
        <v>718</v>
      </c>
      <c r="D117" s="63" t="s">
        <v>233</v>
      </c>
      <c r="E117" s="63" t="s">
        <v>686</v>
      </c>
      <c r="F117" s="63" t="s">
        <v>38</v>
      </c>
      <c r="G117" s="63" t="s">
        <v>719</v>
      </c>
      <c r="H117" s="83" t="s">
        <v>720</v>
      </c>
      <c r="I117" s="63" t="s">
        <v>160</v>
      </c>
      <c r="J117" s="63">
        <v>8</v>
      </c>
      <c r="K117" s="65">
        <f t="shared" si="30"/>
        <v>780</v>
      </c>
      <c r="L117" s="65">
        <f t="shared" si="31"/>
        <v>780</v>
      </c>
      <c r="M117" s="65">
        <v>780</v>
      </c>
      <c r="N117" s="65"/>
      <c r="O117" s="65"/>
      <c r="P117" s="65"/>
      <c r="Q117" s="63"/>
      <c r="R117" s="63"/>
      <c r="S117" s="63"/>
      <c r="T117" s="63"/>
      <c r="U117" s="63"/>
      <c r="V117" s="63"/>
      <c r="W117" s="63" t="s">
        <v>63</v>
      </c>
      <c r="X117" s="63" t="s">
        <v>65</v>
      </c>
      <c r="Y117" s="63" t="s">
        <v>240</v>
      </c>
      <c r="Z117" s="63" t="s">
        <v>241</v>
      </c>
      <c r="AA117" s="63"/>
    </row>
    <row r="118" s="27" customFormat="1" ht="205" customHeight="1" spans="1:29">
      <c r="A118" s="63">
        <v>102</v>
      </c>
      <c r="B118" s="63" t="s">
        <v>721</v>
      </c>
      <c r="C118" s="63" t="s">
        <v>722</v>
      </c>
      <c r="D118" s="63" t="s">
        <v>233</v>
      </c>
      <c r="E118" s="63" t="s">
        <v>723</v>
      </c>
      <c r="F118" s="63" t="s">
        <v>38</v>
      </c>
      <c r="G118" s="63" t="s">
        <v>917</v>
      </c>
      <c r="H118" s="64" t="s">
        <v>918</v>
      </c>
      <c r="I118" s="63" t="s">
        <v>165</v>
      </c>
      <c r="J118" s="63">
        <v>39</v>
      </c>
      <c r="K118" s="65">
        <f t="shared" ref="K118:K121" si="32">SUM(L118,T118:V118)</f>
        <v>200</v>
      </c>
      <c r="L118" s="65">
        <f t="shared" si="31"/>
        <v>200</v>
      </c>
      <c r="M118" s="65"/>
      <c r="N118" s="65">
        <f>140+60</f>
        <v>200</v>
      </c>
      <c r="O118" s="65">
        <v>0</v>
      </c>
      <c r="P118" s="65">
        <v>0</v>
      </c>
      <c r="Q118" s="6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0</v>
      </c>
      <c r="W118" s="63" t="s">
        <v>917</v>
      </c>
      <c r="X118" s="63" t="s">
        <v>816</v>
      </c>
      <c r="Y118" s="63" t="s">
        <v>726</v>
      </c>
      <c r="Z118" s="85" t="s">
        <v>727</v>
      </c>
      <c r="AA118" s="63"/>
      <c r="AB118" s="28"/>
      <c r="AC118" s="28"/>
    </row>
    <row r="119" s="26" customFormat="1" ht="35.5" spans="1:29">
      <c r="A119" s="93" t="s">
        <v>728</v>
      </c>
      <c r="B119" s="94"/>
      <c r="C119" s="95"/>
      <c r="D119" s="58"/>
      <c r="E119" s="59"/>
      <c r="F119" s="59"/>
      <c r="G119" s="59"/>
      <c r="H119" s="59">
        <v>2</v>
      </c>
      <c r="I119" s="60"/>
      <c r="J119" s="60"/>
      <c r="K119" s="61">
        <f t="shared" ref="K119:V119" si="33">SUM(K120:K121)</f>
        <v>1983.61</v>
      </c>
      <c r="L119" s="61">
        <f t="shared" si="33"/>
        <v>1983.61</v>
      </c>
      <c r="M119" s="61">
        <f t="shared" si="33"/>
        <v>0</v>
      </c>
      <c r="N119" s="61">
        <f t="shared" si="33"/>
        <v>1983.61</v>
      </c>
      <c r="O119" s="61">
        <f t="shared" si="33"/>
        <v>0</v>
      </c>
      <c r="P119" s="61">
        <f t="shared" si="33"/>
        <v>0</v>
      </c>
      <c r="Q119" s="61">
        <f t="shared" si="33"/>
        <v>0</v>
      </c>
      <c r="R119" s="61">
        <f t="shared" si="33"/>
        <v>0</v>
      </c>
      <c r="S119" s="61">
        <f t="shared" si="33"/>
        <v>0</v>
      </c>
      <c r="T119" s="61">
        <f t="shared" si="33"/>
        <v>0</v>
      </c>
      <c r="U119" s="61">
        <f t="shared" si="33"/>
        <v>0</v>
      </c>
      <c r="V119" s="61">
        <f t="shared" si="33"/>
        <v>0</v>
      </c>
      <c r="W119" s="59"/>
      <c r="X119" s="59"/>
      <c r="Y119" s="62"/>
      <c r="Z119" s="62"/>
      <c r="AA119" s="62"/>
    </row>
    <row r="120" s="27" customFormat="1" ht="157" customHeight="1" spans="1:29">
      <c r="A120" s="63">
        <v>103</v>
      </c>
      <c r="B120" s="63" t="s">
        <v>729</v>
      </c>
      <c r="C120" s="63" t="s">
        <v>730</v>
      </c>
      <c r="D120" s="63" t="s">
        <v>233</v>
      </c>
      <c r="E120" s="63" t="s">
        <v>731</v>
      </c>
      <c r="F120" s="63" t="s">
        <v>732</v>
      </c>
      <c r="G120" s="63" t="s">
        <v>733</v>
      </c>
      <c r="H120" s="64" t="s">
        <v>734</v>
      </c>
      <c r="I120" s="63" t="s">
        <v>160</v>
      </c>
      <c r="J120" s="63">
        <v>21</v>
      </c>
      <c r="K120" s="65">
        <f t="shared" si="32"/>
        <v>514</v>
      </c>
      <c r="L120" s="65">
        <f t="shared" ref="L120:L138" si="34">SUM(M120:S120)</f>
        <v>514</v>
      </c>
      <c r="M120" s="65"/>
      <c r="N120" s="65">
        <v>514</v>
      </c>
      <c r="O120" s="65"/>
      <c r="P120" s="65"/>
      <c r="Q120" s="63"/>
      <c r="R120" s="63"/>
      <c r="S120" s="63"/>
      <c r="T120" s="63"/>
      <c r="U120" s="63"/>
      <c r="V120" s="63"/>
      <c r="W120" s="63" t="s">
        <v>919</v>
      </c>
      <c r="X120" s="63" t="s">
        <v>920</v>
      </c>
      <c r="Y120" s="63" t="s">
        <v>623</v>
      </c>
      <c r="Z120" s="85" t="s">
        <v>624</v>
      </c>
      <c r="AA120" s="63"/>
      <c r="AB120" s="28"/>
      <c r="AC120" s="28"/>
    </row>
    <row r="121" s="27" customFormat="1" ht="157" customHeight="1" spans="1:29">
      <c r="A121" s="63">
        <v>104</v>
      </c>
      <c r="B121" s="63" t="s">
        <v>735</v>
      </c>
      <c r="C121" s="63" t="s">
        <v>736</v>
      </c>
      <c r="D121" s="63" t="s">
        <v>233</v>
      </c>
      <c r="E121" s="63" t="s">
        <v>731</v>
      </c>
      <c r="F121" s="63" t="s">
        <v>732</v>
      </c>
      <c r="G121" s="63" t="s">
        <v>42</v>
      </c>
      <c r="H121" s="64" t="s">
        <v>737</v>
      </c>
      <c r="I121" s="63" t="s">
        <v>160</v>
      </c>
      <c r="J121" s="63">
        <v>123</v>
      </c>
      <c r="K121" s="65">
        <f t="shared" si="32"/>
        <v>1469.61</v>
      </c>
      <c r="L121" s="65">
        <f t="shared" si="34"/>
        <v>1469.61</v>
      </c>
      <c r="M121" s="65"/>
      <c r="N121" s="65">
        <v>1469.61</v>
      </c>
      <c r="O121" s="65"/>
      <c r="P121" s="65"/>
      <c r="Q121" s="63"/>
      <c r="R121" s="63"/>
      <c r="S121" s="63"/>
      <c r="T121" s="63"/>
      <c r="U121" s="63"/>
      <c r="V121" s="63"/>
      <c r="W121" s="63" t="s">
        <v>919</v>
      </c>
      <c r="X121" s="63" t="s">
        <v>920</v>
      </c>
      <c r="Y121" s="63" t="s">
        <v>623</v>
      </c>
      <c r="Z121" s="85" t="s">
        <v>624</v>
      </c>
      <c r="AA121" s="63"/>
      <c r="AB121" s="28"/>
      <c r="AC121" s="28"/>
    </row>
    <row r="122" s="26" customFormat="1" ht="35.5" spans="1:29">
      <c r="A122" s="93" t="s">
        <v>738</v>
      </c>
      <c r="B122" s="94"/>
      <c r="C122" s="95"/>
      <c r="D122" s="58">
        <f t="shared" ref="D122:G122" si="35">SUM(D123:D138)</f>
        <v>0</v>
      </c>
      <c r="E122" s="59">
        <f t="shared" si="35"/>
        <v>0</v>
      </c>
      <c r="F122" s="59">
        <f t="shared" si="35"/>
        <v>0</v>
      </c>
      <c r="G122" s="59">
        <f t="shared" si="35"/>
        <v>0</v>
      </c>
      <c r="H122" s="59">
        <v>16</v>
      </c>
      <c r="I122" s="60">
        <f t="shared" ref="I122:V122" si="36">SUM(I123:I138)</f>
        <v>0</v>
      </c>
      <c r="J122" s="60"/>
      <c r="K122" s="61">
        <f t="shared" si="36"/>
        <v>5481</v>
      </c>
      <c r="L122" s="61">
        <f t="shared" si="36"/>
        <v>5481</v>
      </c>
      <c r="M122" s="61">
        <f t="shared" si="36"/>
        <v>0</v>
      </c>
      <c r="N122" s="61">
        <f t="shared" si="36"/>
        <v>0</v>
      </c>
      <c r="O122" s="61">
        <f t="shared" si="36"/>
        <v>5481</v>
      </c>
      <c r="P122" s="61">
        <f t="shared" si="36"/>
        <v>0</v>
      </c>
      <c r="Q122" s="61">
        <f t="shared" si="36"/>
        <v>0</v>
      </c>
      <c r="R122" s="61">
        <f t="shared" si="36"/>
        <v>0</v>
      </c>
      <c r="S122" s="61">
        <f t="shared" si="36"/>
        <v>0</v>
      </c>
      <c r="T122" s="61">
        <f t="shared" si="36"/>
        <v>0</v>
      </c>
      <c r="U122" s="61">
        <f t="shared" si="36"/>
        <v>0</v>
      </c>
      <c r="V122" s="61">
        <f t="shared" si="36"/>
        <v>0</v>
      </c>
      <c r="W122" s="59"/>
      <c r="X122" s="59"/>
      <c r="Y122" s="62"/>
      <c r="Z122" s="62"/>
      <c r="AA122" s="62"/>
    </row>
    <row r="123" s="28" customFormat="1" ht="133" customHeight="1" spans="1:29">
      <c r="A123" s="63">
        <v>105</v>
      </c>
      <c r="B123" s="63" t="s">
        <v>739</v>
      </c>
      <c r="C123" s="63" t="s">
        <v>740</v>
      </c>
      <c r="D123" s="63" t="s">
        <v>233</v>
      </c>
      <c r="E123" s="63" t="s">
        <v>731</v>
      </c>
      <c r="F123" s="63" t="s">
        <v>38</v>
      </c>
      <c r="G123" s="63" t="s">
        <v>741</v>
      </c>
      <c r="H123" s="83" t="s">
        <v>921</v>
      </c>
      <c r="I123" s="63" t="s">
        <v>160</v>
      </c>
      <c r="J123" s="63">
        <v>5.6</v>
      </c>
      <c r="K123" s="65">
        <f t="shared" ref="K123:K138" si="37">SUM(L123,T123:V123)</f>
        <v>390</v>
      </c>
      <c r="L123" s="65">
        <f t="shared" si="34"/>
        <v>390</v>
      </c>
      <c r="M123" s="65"/>
      <c r="N123" s="65"/>
      <c r="O123" s="65">
        <v>390</v>
      </c>
      <c r="P123" s="65"/>
      <c r="Q123" s="63"/>
      <c r="R123" s="63"/>
      <c r="S123" s="63"/>
      <c r="T123" s="63"/>
      <c r="U123" s="63"/>
      <c r="V123" s="63"/>
      <c r="W123" s="63" t="s">
        <v>190</v>
      </c>
      <c r="X123" s="63" t="s">
        <v>191</v>
      </c>
      <c r="Y123" s="63" t="s">
        <v>743</v>
      </c>
      <c r="Z123" s="85" t="s">
        <v>744</v>
      </c>
      <c r="AA123" s="63"/>
    </row>
    <row r="124" s="28" customFormat="1" ht="133" customHeight="1" spans="1:29">
      <c r="A124" s="63">
        <v>106</v>
      </c>
      <c r="B124" s="63" t="s">
        <v>745</v>
      </c>
      <c r="C124" s="63" t="s">
        <v>746</v>
      </c>
      <c r="D124" s="63" t="s">
        <v>233</v>
      </c>
      <c r="E124" s="63" t="s">
        <v>247</v>
      </c>
      <c r="F124" s="63" t="s">
        <v>38</v>
      </c>
      <c r="G124" s="63" t="s">
        <v>77</v>
      </c>
      <c r="H124" s="83" t="s">
        <v>747</v>
      </c>
      <c r="I124" s="63" t="s">
        <v>160</v>
      </c>
      <c r="J124" s="63">
        <v>13.5</v>
      </c>
      <c r="K124" s="65">
        <f t="shared" si="37"/>
        <v>390</v>
      </c>
      <c r="L124" s="65">
        <f t="shared" si="34"/>
        <v>390</v>
      </c>
      <c r="M124" s="65"/>
      <c r="N124" s="65"/>
      <c r="O124" s="65">
        <v>390</v>
      </c>
      <c r="P124" s="65"/>
      <c r="Q124" s="63"/>
      <c r="R124" s="63"/>
      <c r="S124" s="63"/>
      <c r="T124" s="63"/>
      <c r="U124" s="63"/>
      <c r="V124" s="63"/>
      <c r="W124" s="63" t="s">
        <v>77</v>
      </c>
      <c r="X124" s="63" t="s">
        <v>55</v>
      </c>
      <c r="Y124" s="63" t="s">
        <v>743</v>
      </c>
      <c r="Z124" s="85" t="s">
        <v>744</v>
      </c>
      <c r="AA124" s="63"/>
    </row>
    <row r="125" s="28" customFormat="1" ht="133" customHeight="1" spans="1:29">
      <c r="A125" s="63">
        <v>107</v>
      </c>
      <c r="B125" s="63" t="s">
        <v>748</v>
      </c>
      <c r="C125" s="63" t="s">
        <v>749</v>
      </c>
      <c r="D125" s="63" t="s">
        <v>233</v>
      </c>
      <c r="E125" s="63" t="s">
        <v>731</v>
      </c>
      <c r="F125" s="63" t="s">
        <v>38</v>
      </c>
      <c r="G125" s="63" t="s">
        <v>104</v>
      </c>
      <c r="H125" s="83" t="s">
        <v>750</v>
      </c>
      <c r="I125" s="63" t="s">
        <v>160</v>
      </c>
      <c r="J125" s="63">
        <v>5.4</v>
      </c>
      <c r="K125" s="65">
        <f t="shared" si="37"/>
        <v>375</v>
      </c>
      <c r="L125" s="65">
        <f t="shared" si="34"/>
        <v>375</v>
      </c>
      <c r="M125" s="65"/>
      <c r="N125" s="65"/>
      <c r="O125" s="65">
        <v>375</v>
      </c>
      <c r="P125" s="65"/>
      <c r="Q125" s="63"/>
      <c r="R125" s="63"/>
      <c r="S125" s="63"/>
      <c r="T125" s="63"/>
      <c r="U125" s="63"/>
      <c r="V125" s="63"/>
      <c r="W125" s="63" t="s">
        <v>104</v>
      </c>
      <c r="X125" s="63" t="s">
        <v>105</v>
      </c>
      <c r="Y125" s="63" t="s">
        <v>743</v>
      </c>
      <c r="Z125" s="85" t="s">
        <v>744</v>
      </c>
      <c r="AA125" s="63"/>
    </row>
    <row r="126" s="28" customFormat="1" ht="133" customHeight="1" spans="1:29">
      <c r="A126" s="63">
        <v>108</v>
      </c>
      <c r="B126" s="63" t="s">
        <v>751</v>
      </c>
      <c r="C126" s="63" t="s">
        <v>752</v>
      </c>
      <c r="D126" s="63" t="s">
        <v>233</v>
      </c>
      <c r="E126" s="63" t="s">
        <v>731</v>
      </c>
      <c r="F126" s="63" t="s">
        <v>38</v>
      </c>
      <c r="G126" s="63" t="s">
        <v>753</v>
      </c>
      <c r="H126" s="83" t="s">
        <v>754</v>
      </c>
      <c r="I126" s="63" t="s">
        <v>160</v>
      </c>
      <c r="J126" s="63">
        <v>2</v>
      </c>
      <c r="K126" s="65">
        <f t="shared" si="37"/>
        <v>400</v>
      </c>
      <c r="L126" s="65">
        <f t="shared" si="34"/>
        <v>400</v>
      </c>
      <c r="M126" s="65"/>
      <c r="N126" s="65"/>
      <c r="O126" s="65">
        <v>400</v>
      </c>
      <c r="P126" s="65"/>
      <c r="Q126" s="63"/>
      <c r="R126" s="63"/>
      <c r="S126" s="63"/>
      <c r="T126" s="63"/>
      <c r="U126" s="63"/>
      <c r="V126" s="63"/>
      <c r="W126" s="63" t="s">
        <v>922</v>
      </c>
      <c r="X126" s="63" t="s">
        <v>923</v>
      </c>
      <c r="Y126" s="63" t="s">
        <v>743</v>
      </c>
      <c r="Z126" s="85" t="s">
        <v>744</v>
      </c>
      <c r="AA126" s="63"/>
    </row>
    <row r="127" s="28" customFormat="1" ht="133" customHeight="1" spans="1:29">
      <c r="A127" s="63">
        <v>109</v>
      </c>
      <c r="B127" s="63" t="s">
        <v>755</v>
      </c>
      <c r="C127" s="63" t="s">
        <v>756</v>
      </c>
      <c r="D127" s="63" t="s">
        <v>233</v>
      </c>
      <c r="E127" s="63" t="s">
        <v>731</v>
      </c>
      <c r="F127" s="63" t="s">
        <v>38</v>
      </c>
      <c r="G127" s="63" t="s">
        <v>130</v>
      </c>
      <c r="H127" s="83" t="s">
        <v>924</v>
      </c>
      <c r="I127" s="63" t="s">
        <v>160</v>
      </c>
      <c r="J127" s="63">
        <v>5.62</v>
      </c>
      <c r="K127" s="65">
        <f t="shared" si="37"/>
        <v>390</v>
      </c>
      <c r="L127" s="65">
        <f t="shared" si="34"/>
        <v>390</v>
      </c>
      <c r="M127" s="65"/>
      <c r="N127" s="65"/>
      <c r="O127" s="65">
        <v>390</v>
      </c>
      <c r="P127" s="65"/>
      <c r="Q127" s="63"/>
      <c r="R127" s="63"/>
      <c r="S127" s="63"/>
      <c r="T127" s="63"/>
      <c r="U127" s="63"/>
      <c r="V127" s="63"/>
      <c r="W127" s="63" t="s">
        <v>130</v>
      </c>
      <c r="X127" s="63" t="s">
        <v>867</v>
      </c>
      <c r="Y127" s="63" t="s">
        <v>743</v>
      </c>
      <c r="Z127" s="85" t="s">
        <v>744</v>
      </c>
      <c r="AA127" s="63"/>
    </row>
    <row r="128" s="28" customFormat="1" ht="133" customHeight="1" spans="1:29">
      <c r="A128" s="63">
        <v>110</v>
      </c>
      <c r="B128" s="63" t="s">
        <v>758</v>
      </c>
      <c r="C128" s="63" t="s">
        <v>759</v>
      </c>
      <c r="D128" s="63" t="s">
        <v>233</v>
      </c>
      <c r="E128" s="63" t="s">
        <v>731</v>
      </c>
      <c r="F128" s="63" t="s">
        <v>38</v>
      </c>
      <c r="G128" s="63" t="s">
        <v>94</v>
      </c>
      <c r="H128" s="83" t="s">
        <v>925</v>
      </c>
      <c r="I128" s="63" t="s">
        <v>160</v>
      </c>
      <c r="J128" s="63">
        <v>5.5</v>
      </c>
      <c r="K128" s="65">
        <f t="shared" si="37"/>
        <v>395</v>
      </c>
      <c r="L128" s="65">
        <f t="shared" si="34"/>
        <v>395</v>
      </c>
      <c r="M128" s="65"/>
      <c r="N128" s="65"/>
      <c r="O128" s="65">
        <v>395</v>
      </c>
      <c r="P128" s="65"/>
      <c r="Q128" s="63"/>
      <c r="R128" s="63"/>
      <c r="S128" s="63"/>
      <c r="T128" s="63"/>
      <c r="U128" s="63"/>
      <c r="V128" s="63"/>
      <c r="W128" s="63" t="s">
        <v>94</v>
      </c>
      <c r="X128" s="63" t="s">
        <v>96</v>
      </c>
      <c r="Y128" s="63" t="s">
        <v>743</v>
      </c>
      <c r="Z128" s="85" t="s">
        <v>744</v>
      </c>
      <c r="AA128" s="63"/>
    </row>
    <row r="129" s="28" customFormat="1" ht="133" customHeight="1" spans="1:27">
      <c r="A129" s="63">
        <v>111</v>
      </c>
      <c r="B129" s="63" t="s">
        <v>761</v>
      </c>
      <c r="C129" s="63" t="s">
        <v>762</v>
      </c>
      <c r="D129" s="63" t="s">
        <v>233</v>
      </c>
      <c r="E129" s="63" t="s">
        <v>247</v>
      </c>
      <c r="F129" s="63" t="s">
        <v>38</v>
      </c>
      <c r="G129" s="63" t="s">
        <v>88</v>
      </c>
      <c r="H129" s="83" t="s">
        <v>763</v>
      </c>
      <c r="I129" s="63" t="s">
        <v>530</v>
      </c>
      <c r="J129" s="63">
        <v>2.4</v>
      </c>
      <c r="K129" s="65">
        <f t="shared" si="37"/>
        <v>400</v>
      </c>
      <c r="L129" s="65">
        <f t="shared" si="34"/>
        <v>400</v>
      </c>
      <c r="M129" s="65"/>
      <c r="N129" s="65"/>
      <c r="O129" s="65">
        <v>400</v>
      </c>
      <c r="P129" s="65"/>
      <c r="Q129" s="63"/>
      <c r="R129" s="63"/>
      <c r="S129" s="63"/>
      <c r="T129" s="63"/>
      <c r="U129" s="63"/>
      <c r="V129" s="63"/>
      <c r="W129" s="63" t="s">
        <v>88</v>
      </c>
      <c r="X129" s="63" t="s">
        <v>89</v>
      </c>
      <c r="Y129" s="63" t="s">
        <v>743</v>
      </c>
      <c r="Z129" s="85" t="s">
        <v>744</v>
      </c>
      <c r="AA129" s="63"/>
    </row>
    <row r="130" s="28" customFormat="1" ht="133" customHeight="1" spans="1:27">
      <c r="A130" s="63">
        <v>112</v>
      </c>
      <c r="B130" s="63" t="s">
        <v>764</v>
      </c>
      <c r="C130" s="63" t="s">
        <v>765</v>
      </c>
      <c r="D130" s="63" t="s">
        <v>233</v>
      </c>
      <c r="E130" s="63" t="s">
        <v>731</v>
      </c>
      <c r="F130" s="63" t="s">
        <v>38</v>
      </c>
      <c r="G130" s="63" t="s">
        <v>73</v>
      </c>
      <c r="H130" s="83" t="s">
        <v>766</v>
      </c>
      <c r="I130" s="63" t="s">
        <v>160</v>
      </c>
      <c r="J130" s="63">
        <v>0.6</v>
      </c>
      <c r="K130" s="65">
        <f t="shared" si="37"/>
        <v>400</v>
      </c>
      <c r="L130" s="65">
        <f t="shared" si="34"/>
        <v>400</v>
      </c>
      <c r="M130" s="65"/>
      <c r="N130" s="65"/>
      <c r="O130" s="65">
        <v>400</v>
      </c>
      <c r="P130" s="65"/>
      <c r="Q130" s="63"/>
      <c r="R130" s="63"/>
      <c r="S130" s="63"/>
      <c r="T130" s="63"/>
      <c r="U130" s="63"/>
      <c r="V130" s="63"/>
      <c r="W130" s="63" t="s">
        <v>73</v>
      </c>
      <c r="X130" s="63" t="s">
        <v>74</v>
      </c>
      <c r="Y130" s="63" t="s">
        <v>743</v>
      </c>
      <c r="Z130" s="85" t="s">
        <v>744</v>
      </c>
      <c r="AA130" s="63"/>
    </row>
    <row r="131" s="28" customFormat="1" ht="133" customHeight="1" spans="1:27">
      <c r="A131" s="63">
        <v>113</v>
      </c>
      <c r="B131" s="63" t="s">
        <v>767</v>
      </c>
      <c r="C131" s="63" t="s">
        <v>768</v>
      </c>
      <c r="D131" s="63" t="s">
        <v>233</v>
      </c>
      <c r="E131" s="63" t="s">
        <v>731</v>
      </c>
      <c r="F131" s="63" t="s">
        <v>38</v>
      </c>
      <c r="G131" s="63" t="s">
        <v>58</v>
      </c>
      <c r="H131" s="83" t="s">
        <v>926</v>
      </c>
      <c r="I131" s="63" t="s">
        <v>160</v>
      </c>
      <c r="J131" s="63">
        <v>3.9</v>
      </c>
      <c r="K131" s="65">
        <f t="shared" si="37"/>
        <v>274</v>
      </c>
      <c r="L131" s="65">
        <f t="shared" si="34"/>
        <v>274</v>
      </c>
      <c r="M131" s="65"/>
      <c r="N131" s="65"/>
      <c r="O131" s="65">
        <v>274</v>
      </c>
      <c r="P131" s="65"/>
      <c r="Q131" s="63"/>
      <c r="R131" s="63"/>
      <c r="S131" s="63"/>
      <c r="T131" s="63"/>
      <c r="U131" s="63"/>
      <c r="V131" s="63"/>
      <c r="W131" s="63" t="s">
        <v>58</v>
      </c>
      <c r="X131" s="63" t="s">
        <v>60</v>
      </c>
      <c r="Y131" s="63" t="s">
        <v>743</v>
      </c>
      <c r="Z131" s="85" t="s">
        <v>744</v>
      </c>
      <c r="AA131" s="63"/>
    </row>
    <row r="132" s="28" customFormat="1" ht="133" customHeight="1" spans="1:27">
      <c r="A132" s="63">
        <v>114</v>
      </c>
      <c r="B132" s="63" t="s">
        <v>770</v>
      </c>
      <c r="C132" s="63" t="s">
        <v>771</v>
      </c>
      <c r="D132" s="63" t="s">
        <v>233</v>
      </c>
      <c r="E132" s="63" t="s">
        <v>731</v>
      </c>
      <c r="F132" s="63" t="s">
        <v>38</v>
      </c>
      <c r="G132" s="63" t="s">
        <v>53</v>
      </c>
      <c r="H132" s="83" t="s">
        <v>772</v>
      </c>
      <c r="I132" s="63" t="s">
        <v>773</v>
      </c>
      <c r="J132" s="63">
        <v>30</v>
      </c>
      <c r="K132" s="65">
        <f t="shared" si="37"/>
        <v>120</v>
      </c>
      <c r="L132" s="65">
        <f t="shared" si="34"/>
        <v>120</v>
      </c>
      <c r="M132" s="65"/>
      <c r="N132" s="65"/>
      <c r="O132" s="65">
        <v>120</v>
      </c>
      <c r="P132" s="65"/>
      <c r="Q132" s="63"/>
      <c r="R132" s="63"/>
      <c r="S132" s="63"/>
      <c r="T132" s="63"/>
      <c r="U132" s="63"/>
      <c r="V132" s="63"/>
      <c r="W132" s="63" t="s">
        <v>53</v>
      </c>
      <c r="X132" s="63" t="s">
        <v>864</v>
      </c>
      <c r="Y132" s="63" t="s">
        <v>743</v>
      </c>
      <c r="Z132" s="85" t="s">
        <v>744</v>
      </c>
      <c r="AA132" s="63"/>
    </row>
    <row r="133" s="28" customFormat="1" ht="133" customHeight="1" spans="1:27">
      <c r="A133" s="63">
        <v>115</v>
      </c>
      <c r="B133" s="63" t="s">
        <v>774</v>
      </c>
      <c r="C133" s="63" t="s">
        <v>775</v>
      </c>
      <c r="D133" s="63" t="s">
        <v>233</v>
      </c>
      <c r="E133" s="63" t="s">
        <v>731</v>
      </c>
      <c r="F133" s="63" t="s">
        <v>38</v>
      </c>
      <c r="G133" s="63" t="s">
        <v>142</v>
      </c>
      <c r="H133" s="83" t="s">
        <v>776</v>
      </c>
      <c r="I133" s="63" t="s">
        <v>160</v>
      </c>
      <c r="J133" s="63">
        <v>5.6</v>
      </c>
      <c r="K133" s="65">
        <f t="shared" si="37"/>
        <v>392</v>
      </c>
      <c r="L133" s="65">
        <f t="shared" si="34"/>
        <v>392</v>
      </c>
      <c r="M133" s="65"/>
      <c r="N133" s="65"/>
      <c r="O133" s="65">
        <v>392</v>
      </c>
      <c r="P133" s="65"/>
      <c r="Q133" s="63"/>
      <c r="R133" s="63"/>
      <c r="S133" s="63"/>
      <c r="T133" s="63"/>
      <c r="U133" s="63"/>
      <c r="V133" s="63"/>
      <c r="W133" s="63" t="s">
        <v>142</v>
      </c>
      <c r="X133" s="63" t="s">
        <v>874</v>
      </c>
      <c r="Y133" s="63" t="s">
        <v>743</v>
      </c>
      <c r="Z133" s="85" t="s">
        <v>744</v>
      </c>
      <c r="AA133" s="63"/>
    </row>
    <row r="134" s="28" customFormat="1" ht="133" customHeight="1" spans="1:27">
      <c r="A134" s="63">
        <v>116</v>
      </c>
      <c r="B134" s="63" t="s">
        <v>777</v>
      </c>
      <c r="C134" s="63" t="s">
        <v>778</v>
      </c>
      <c r="D134" s="63" t="s">
        <v>233</v>
      </c>
      <c r="E134" s="63" t="s">
        <v>247</v>
      </c>
      <c r="F134" s="63" t="s">
        <v>38</v>
      </c>
      <c r="G134" s="63" t="s">
        <v>151</v>
      </c>
      <c r="H134" s="83" t="s">
        <v>779</v>
      </c>
      <c r="I134" s="63" t="s">
        <v>530</v>
      </c>
      <c r="J134" s="63">
        <v>2.438</v>
      </c>
      <c r="K134" s="65">
        <f t="shared" si="37"/>
        <v>398</v>
      </c>
      <c r="L134" s="65">
        <f t="shared" si="34"/>
        <v>398</v>
      </c>
      <c r="M134" s="65"/>
      <c r="N134" s="65"/>
      <c r="O134" s="65">
        <v>398</v>
      </c>
      <c r="P134" s="65"/>
      <c r="Q134" s="63"/>
      <c r="R134" s="63"/>
      <c r="S134" s="63"/>
      <c r="T134" s="63"/>
      <c r="U134" s="63"/>
      <c r="V134" s="63"/>
      <c r="W134" s="63" t="s">
        <v>151</v>
      </c>
      <c r="X134" s="63" t="s">
        <v>152</v>
      </c>
      <c r="Y134" s="63" t="s">
        <v>743</v>
      </c>
      <c r="Z134" s="85" t="s">
        <v>744</v>
      </c>
      <c r="AA134" s="63"/>
    </row>
    <row r="135" s="28" customFormat="1" ht="133" customHeight="1" spans="1:27">
      <c r="A135" s="63">
        <v>117</v>
      </c>
      <c r="B135" s="63" t="s">
        <v>780</v>
      </c>
      <c r="C135" s="63" t="s">
        <v>781</v>
      </c>
      <c r="D135" s="63" t="s">
        <v>233</v>
      </c>
      <c r="E135" s="63" t="s">
        <v>247</v>
      </c>
      <c r="F135" s="63" t="s">
        <v>38</v>
      </c>
      <c r="G135" s="63" t="s">
        <v>173</v>
      </c>
      <c r="H135" s="83" t="s">
        <v>782</v>
      </c>
      <c r="I135" s="63" t="s">
        <v>160</v>
      </c>
      <c r="J135" s="63">
        <v>3</v>
      </c>
      <c r="K135" s="65">
        <f t="shared" si="37"/>
        <v>167</v>
      </c>
      <c r="L135" s="65">
        <f t="shared" si="34"/>
        <v>167</v>
      </c>
      <c r="M135" s="65"/>
      <c r="N135" s="65"/>
      <c r="O135" s="65">
        <v>167</v>
      </c>
      <c r="P135" s="65"/>
      <c r="Q135" s="63"/>
      <c r="R135" s="63"/>
      <c r="S135" s="63"/>
      <c r="T135" s="63"/>
      <c r="U135" s="63"/>
      <c r="V135" s="63"/>
      <c r="W135" s="63" t="s">
        <v>173</v>
      </c>
      <c r="X135" s="63" t="s">
        <v>174</v>
      </c>
      <c r="Y135" s="63" t="s">
        <v>743</v>
      </c>
      <c r="Z135" s="85" t="s">
        <v>744</v>
      </c>
      <c r="AA135" s="63"/>
    </row>
    <row r="136" s="28" customFormat="1" ht="133" customHeight="1" spans="1:27">
      <c r="A136" s="63">
        <v>118</v>
      </c>
      <c r="B136" s="63" t="s">
        <v>783</v>
      </c>
      <c r="C136" s="63" t="s">
        <v>784</v>
      </c>
      <c r="D136" s="63" t="s">
        <v>233</v>
      </c>
      <c r="E136" s="63" t="s">
        <v>731</v>
      </c>
      <c r="F136" s="63" t="s">
        <v>38</v>
      </c>
      <c r="G136" s="63" t="s">
        <v>785</v>
      </c>
      <c r="H136" s="83" t="s">
        <v>927</v>
      </c>
      <c r="I136" s="63" t="s">
        <v>160</v>
      </c>
      <c r="J136" s="63">
        <v>3</v>
      </c>
      <c r="K136" s="65">
        <f t="shared" si="37"/>
        <v>210</v>
      </c>
      <c r="L136" s="65">
        <f t="shared" si="34"/>
        <v>210</v>
      </c>
      <c r="M136" s="65"/>
      <c r="N136" s="65"/>
      <c r="O136" s="65">
        <v>210</v>
      </c>
      <c r="P136" s="65"/>
      <c r="Q136" s="63"/>
      <c r="R136" s="63"/>
      <c r="S136" s="63"/>
      <c r="T136" s="63"/>
      <c r="U136" s="63"/>
      <c r="V136" s="63"/>
      <c r="W136" s="63" t="s">
        <v>575</v>
      </c>
      <c r="X136" s="63" t="s">
        <v>916</v>
      </c>
      <c r="Y136" s="63" t="s">
        <v>743</v>
      </c>
      <c r="Z136" s="85" t="s">
        <v>744</v>
      </c>
      <c r="AA136" s="63"/>
    </row>
    <row r="137" s="28" customFormat="1" ht="133" customHeight="1" spans="1:27">
      <c r="A137" s="63">
        <v>119</v>
      </c>
      <c r="B137" s="63" t="s">
        <v>787</v>
      </c>
      <c r="C137" s="63" t="s">
        <v>788</v>
      </c>
      <c r="D137" s="63" t="s">
        <v>233</v>
      </c>
      <c r="E137" s="63" t="s">
        <v>731</v>
      </c>
      <c r="F137" s="63" t="s">
        <v>38</v>
      </c>
      <c r="G137" s="63" t="s">
        <v>63</v>
      </c>
      <c r="H137" s="83" t="s">
        <v>928</v>
      </c>
      <c r="I137" s="63" t="s">
        <v>160</v>
      </c>
      <c r="J137" s="63">
        <v>5.5</v>
      </c>
      <c r="K137" s="65">
        <f t="shared" si="37"/>
        <v>385</v>
      </c>
      <c r="L137" s="65">
        <f t="shared" si="34"/>
        <v>385</v>
      </c>
      <c r="M137" s="65"/>
      <c r="N137" s="65"/>
      <c r="O137" s="65">
        <v>385</v>
      </c>
      <c r="P137" s="65"/>
      <c r="Q137" s="63"/>
      <c r="R137" s="63"/>
      <c r="S137" s="63"/>
      <c r="T137" s="63"/>
      <c r="U137" s="63"/>
      <c r="V137" s="63"/>
      <c r="W137" s="63" t="s">
        <v>63</v>
      </c>
      <c r="X137" s="63" t="s">
        <v>65</v>
      </c>
      <c r="Y137" s="63" t="s">
        <v>743</v>
      </c>
      <c r="Z137" s="85" t="s">
        <v>744</v>
      </c>
      <c r="AA137" s="63"/>
    </row>
    <row r="138" s="28" customFormat="1" ht="133" customHeight="1" spans="1:27">
      <c r="A138" s="63">
        <v>120</v>
      </c>
      <c r="B138" s="63" t="s">
        <v>790</v>
      </c>
      <c r="C138" s="63" t="s">
        <v>791</v>
      </c>
      <c r="D138" s="63" t="s">
        <v>233</v>
      </c>
      <c r="E138" s="63" t="s">
        <v>247</v>
      </c>
      <c r="F138" s="63" t="s">
        <v>38</v>
      </c>
      <c r="G138" s="63" t="s">
        <v>261</v>
      </c>
      <c r="H138" s="83" t="s">
        <v>792</v>
      </c>
      <c r="I138" s="63" t="s">
        <v>160</v>
      </c>
      <c r="J138" s="63">
        <v>2.94</v>
      </c>
      <c r="K138" s="65">
        <f t="shared" si="37"/>
        <v>395</v>
      </c>
      <c r="L138" s="65">
        <f t="shared" si="34"/>
        <v>395</v>
      </c>
      <c r="M138" s="65"/>
      <c r="N138" s="65"/>
      <c r="O138" s="65">
        <v>395</v>
      </c>
      <c r="P138" s="65"/>
      <c r="Q138" s="63"/>
      <c r="R138" s="63"/>
      <c r="S138" s="63"/>
      <c r="T138" s="63"/>
      <c r="U138" s="63"/>
      <c r="V138" s="63"/>
      <c r="W138" s="63" t="s">
        <v>261</v>
      </c>
      <c r="X138" s="63" t="s">
        <v>262</v>
      </c>
      <c r="Y138" s="63" t="s">
        <v>743</v>
      </c>
      <c r="Z138" s="85" t="s">
        <v>744</v>
      </c>
      <c r="AA138" s="63"/>
    </row>
    <row r="139" s="26" customFormat="1" ht="35.5" spans="1:27">
      <c r="A139" s="59" t="s">
        <v>263</v>
      </c>
      <c r="B139" s="96" t="s">
        <v>264</v>
      </c>
      <c r="C139" s="97"/>
      <c r="D139" s="58"/>
      <c r="E139" s="59"/>
      <c r="F139" s="59"/>
      <c r="G139" s="59"/>
      <c r="H139" s="59">
        <v>1</v>
      </c>
      <c r="I139" s="60"/>
      <c r="J139" s="60">
        <f>K139/K7</f>
        <v>0.021297675747357</v>
      </c>
      <c r="K139" s="61">
        <f t="shared" ref="K139:V139" si="38">SUM(K140)</f>
        <v>1800</v>
      </c>
      <c r="L139" s="61">
        <f t="shared" si="38"/>
        <v>1800</v>
      </c>
      <c r="M139" s="61">
        <f t="shared" si="38"/>
        <v>1800</v>
      </c>
      <c r="N139" s="61">
        <f t="shared" si="38"/>
        <v>0</v>
      </c>
      <c r="O139" s="61">
        <f t="shared" si="38"/>
        <v>0</v>
      </c>
      <c r="P139" s="61">
        <f t="shared" si="38"/>
        <v>0</v>
      </c>
      <c r="Q139" s="61">
        <f t="shared" si="38"/>
        <v>0</v>
      </c>
      <c r="R139" s="61">
        <f t="shared" si="38"/>
        <v>0</v>
      </c>
      <c r="S139" s="61">
        <f t="shared" si="38"/>
        <v>0</v>
      </c>
      <c r="T139" s="61">
        <f t="shared" si="38"/>
        <v>0</v>
      </c>
      <c r="U139" s="61">
        <f t="shared" si="38"/>
        <v>0</v>
      </c>
      <c r="V139" s="61">
        <f t="shared" si="38"/>
        <v>0</v>
      </c>
      <c r="W139" s="59"/>
      <c r="X139" s="59"/>
      <c r="Y139" s="61"/>
      <c r="Z139" s="61"/>
      <c r="AA139" s="61"/>
    </row>
    <row r="140" s="70" customFormat="1" ht="196" customHeight="1" spans="1:27">
      <c r="A140" s="63">
        <v>121</v>
      </c>
      <c r="B140" s="63" t="s">
        <v>793</v>
      </c>
      <c r="C140" s="63" t="s">
        <v>266</v>
      </c>
      <c r="D140" s="63" t="s">
        <v>267</v>
      </c>
      <c r="E140" s="63" t="s">
        <v>268</v>
      </c>
      <c r="F140" s="63" t="s">
        <v>38</v>
      </c>
      <c r="G140" s="63" t="s">
        <v>277</v>
      </c>
      <c r="H140" s="83" t="s">
        <v>929</v>
      </c>
      <c r="I140" s="63" t="s">
        <v>222</v>
      </c>
      <c r="J140" s="63">
        <v>6000</v>
      </c>
      <c r="K140" s="65">
        <f>SUM(L140,T140:V140)</f>
        <v>1800</v>
      </c>
      <c r="L140" s="65">
        <f>SUM(M140:S140)</f>
        <v>1800</v>
      </c>
      <c r="M140" s="65">
        <v>1800</v>
      </c>
      <c r="N140" s="65"/>
      <c r="O140" s="65"/>
      <c r="P140" s="65"/>
      <c r="Q140" s="63"/>
      <c r="R140" s="63"/>
      <c r="S140" s="63"/>
      <c r="T140" s="63"/>
      <c r="U140" s="63"/>
      <c r="V140" s="63"/>
      <c r="W140" s="63" t="s">
        <v>270</v>
      </c>
      <c r="X140" s="63" t="s">
        <v>271</v>
      </c>
      <c r="Y140" s="63" t="s">
        <v>270</v>
      </c>
      <c r="Z140" s="63" t="s">
        <v>271</v>
      </c>
      <c r="AA140" s="63"/>
    </row>
    <row r="141" s="26" customFormat="1" ht="35.5" spans="1:27">
      <c r="A141" s="59" t="s">
        <v>272</v>
      </c>
      <c r="B141" s="96" t="s">
        <v>802</v>
      </c>
      <c r="C141" s="97"/>
      <c r="D141" s="58"/>
      <c r="E141" s="59"/>
      <c r="F141" s="59"/>
      <c r="G141" s="59"/>
      <c r="H141" s="59">
        <v>1</v>
      </c>
      <c r="I141" s="60"/>
      <c r="J141" s="60">
        <f>K141/K7</f>
        <v>0.00056793801992952</v>
      </c>
      <c r="K141" s="61">
        <f>SUM(K142:K142)</f>
        <v>48</v>
      </c>
      <c r="L141" s="61">
        <f>SUM(L142:L142)</f>
        <v>48</v>
      </c>
      <c r="M141" s="61">
        <f>SUM(M142:M142)</f>
        <v>0</v>
      </c>
      <c r="N141" s="61">
        <f t="shared" ref="N141:V141" si="39">SUM(N142)</f>
        <v>0</v>
      </c>
      <c r="O141" s="61">
        <f t="shared" si="39"/>
        <v>0</v>
      </c>
      <c r="P141" s="61">
        <f t="shared" si="39"/>
        <v>48</v>
      </c>
      <c r="Q141" s="61">
        <f t="shared" si="39"/>
        <v>0</v>
      </c>
      <c r="R141" s="61">
        <f t="shared" si="39"/>
        <v>0</v>
      </c>
      <c r="S141" s="61">
        <f t="shared" si="39"/>
        <v>0</v>
      </c>
      <c r="T141" s="61">
        <f t="shared" si="39"/>
        <v>0</v>
      </c>
      <c r="U141" s="61">
        <f t="shared" si="39"/>
        <v>0</v>
      </c>
      <c r="V141" s="61">
        <f t="shared" si="39"/>
        <v>0</v>
      </c>
      <c r="W141" s="59"/>
      <c r="X141" s="59"/>
      <c r="Y141" s="61"/>
      <c r="Z141" s="61"/>
      <c r="AA141" s="61"/>
    </row>
    <row r="142" s="28" customFormat="1" ht="106.5" spans="1:27">
      <c r="A142" s="63">
        <v>122</v>
      </c>
      <c r="B142" s="63" t="s">
        <v>803</v>
      </c>
      <c r="C142" s="63" t="s">
        <v>804</v>
      </c>
      <c r="D142" s="63" t="s">
        <v>805</v>
      </c>
      <c r="E142" s="63" t="s">
        <v>806</v>
      </c>
      <c r="F142" s="63" t="s">
        <v>38</v>
      </c>
      <c r="G142" s="63" t="s">
        <v>277</v>
      </c>
      <c r="H142" s="83" t="s">
        <v>807</v>
      </c>
      <c r="I142" s="63" t="s">
        <v>432</v>
      </c>
      <c r="J142" s="63">
        <v>10185</v>
      </c>
      <c r="K142" s="65">
        <f>SUM(L142,T142:V142)</f>
        <v>48</v>
      </c>
      <c r="L142" s="65">
        <f>SUM(M142:S142)</f>
        <v>48</v>
      </c>
      <c r="M142" s="65"/>
      <c r="N142" s="65"/>
      <c r="O142" s="65"/>
      <c r="P142" s="65">
        <v>48</v>
      </c>
      <c r="Q142" s="63"/>
      <c r="R142" s="63"/>
      <c r="S142" s="63"/>
      <c r="T142" s="63"/>
      <c r="U142" s="63"/>
      <c r="V142" s="63"/>
      <c r="W142" s="63" t="s">
        <v>613</v>
      </c>
      <c r="X142" s="63" t="s">
        <v>614</v>
      </c>
      <c r="Y142" s="63" t="s">
        <v>613</v>
      </c>
      <c r="Z142" s="63" t="s">
        <v>614</v>
      </c>
      <c r="AA142" s="63"/>
    </row>
  </sheetData>
  <autoFilter xmlns:etc="http://www.wps.cn/officeDocument/2017/etCustomData" ref="A7:AC142" etc:filterBottomFollowUsedRange="0">
    <extLst/>
  </autoFilter>
  <mergeCells count="46">
    <mergeCell ref="A1:AA1"/>
    <mergeCell ref="A2:D2"/>
    <mergeCell ref="L3:V3"/>
    <mergeCell ref="L4:S4"/>
    <mergeCell ref="M5:N5"/>
    <mergeCell ref="A7:F7"/>
    <mergeCell ref="B8:C8"/>
    <mergeCell ref="A9:C9"/>
    <mergeCell ref="A31:C31"/>
    <mergeCell ref="A57:C57"/>
    <mergeCell ref="A60:C60"/>
    <mergeCell ref="A63:C63"/>
    <mergeCell ref="A69:C69"/>
    <mergeCell ref="B98:C98"/>
    <mergeCell ref="B106:C106"/>
    <mergeCell ref="A107:C107"/>
    <mergeCell ref="A110:C110"/>
    <mergeCell ref="A119:C119"/>
    <mergeCell ref="A122:C122"/>
    <mergeCell ref="B139:C139"/>
    <mergeCell ref="B141:C14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3:Y6"/>
    <mergeCell ref="Z3:Z6"/>
    <mergeCell ref="AA3:AA6"/>
  </mergeCells>
  <dataValidations count="4">
    <dataValidation type="list" allowBlank="1" showErrorMessage="1" sqref="E31 E4:E8 E143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F98 F9:F29 F32:F68 F73:F76 F80:F81 F106:F121 F123:F142">
      <formula1>"新建,改建,扩建"</formula1>
    </dataValidation>
    <dataValidation type="list" allowBlank="1" showInputMessage="1" showErrorMessage="1" sqref="D9:D30 D32:D73 D75:D79 D81:D111 D113:D121 D123:D142">
      <formula1>下拉列表!$A$1:$G$1</formula1>
    </dataValidation>
    <dataValidation type="list" allowBlank="1" showInputMessage="1" showErrorMessage="1" sqref="E9:E30 E32:E121 E123:E142">
      <formula1>INDIRECT(D9)</formula1>
    </dataValidation>
  </dataValidations>
  <pageMargins left="0.393055555555556" right="0.393055555555556" top="0.590277777777778" bottom="0.590277777777778" header="0.298611111111111" footer="0.298611111111111"/>
  <pageSetup paperSize="8" scale="25" fitToHeight="0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33"/>
  <sheetViews>
    <sheetView showZeros="0" zoomScale="40" zoomScaleNormal="40" workbookViewId="0">
      <pane ySplit="6" topLeftCell="A7" activePane="bottomLeft" state="frozen"/>
      <selection/>
      <selection pane="bottomLeft" activeCell="H11" sqref="H11"/>
    </sheetView>
  </sheetViews>
  <sheetFormatPr defaultColWidth="9" defaultRowHeight="17.5"/>
  <cols>
    <col min="1" max="1" width="9.25384615384615" style="29" customWidth="1"/>
    <col min="2" max="2" width="13.2538461538462" style="30" customWidth="1"/>
    <col min="3" max="3" width="50.3846153846154" style="30" customWidth="1"/>
    <col min="4" max="4" width="12.3769230769231" style="30" customWidth="1"/>
    <col min="5" max="5" width="20.5769230769231" style="30" customWidth="1"/>
    <col min="6" max="6" width="11.5384615384615" style="30" customWidth="1"/>
    <col min="7" max="7" width="53.6230769230769" style="30" customWidth="1"/>
    <col min="8" max="8" width="145.576923076923" style="31" customWidth="1"/>
    <col min="9" max="9" width="17.1230769230769" style="31" customWidth="1"/>
    <col min="10" max="10" width="24.8769230769231" style="31" customWidth="1"/>
    <col min="11" max="11" width="26.2538461538462" style="32" customWidth="1"/>
    <col min="12" max="13" width="26.2538461538462" style="32" hidden="1" customWidth="1"/>
    <col min="14" max="16" width="23.5" style="32" hidden="1" customWidth="1"/>
    <col min="17" max="17" width="15.1230769230769" style="30" hidden="1" customWidth="1"/>
    <col min="18" max="18" width="17.8769230769231" style="30" hidden="1" customWidth="1"/>
    <col min="19" max="19" width="15.1230769230769" style="30" hidden="1" customWidth="1"/>
    <col min="20" max="20" width="23.5" style="30" hidden="1" customWidth="1"/>
    <col min="21" max="21" width="20.7538461538462" style="30" hidden="1" customWidth="1"/>
    <col min="22" max="22" width="23.8769230769231" style="30" hidden="1" customWidth="1"/>
    <col min="23" max="23" width="15.6230769230769" style="30" customWidth="1"/>
    <col min="24" max="24" width="17.6923076923077" style="30" customWidth="1"/>
    <col min="25" max="25" width="20.1923076923077" style="33" customWidth="1"/>
    <col min="26" max="26" width="10.8769230769231" style="34" customWidth="1"/>
    <col min="27" max="27" width="22.6230769230769" style="33" customWidth="1"/>
    <col min="28" max="28" width="9" style="35" hidden="1" customWidth="1"/>
    <col min="29" max="29" width="18.3846153846154" style="35" hidden="1" customWidth="1"/>
    <col min="30" max="16384" width="9" style="36"/>
  </cols>
  <sheetData>
    <row r="1" s="22" customFormat="1" ht="84" customHeight="1" spans="1:29">
      <c r="A1" s="37" t="s">
        <v>812</v>
      </c>
      <c r="B1" s="37"/>
      <c r="C1" s="37"/>
      <c r="D1" s="38"/>
      <c r="E1" s="38"/>
      <c r="F1" s="38"/>
      <c r="G1" s="37"/>
      <c r="H1" s="37"/>
      <c r="I1" s="37"/>
      <c r="J1" s="37"/>
      <c r="K1" s="39"/>
      <c r="L1" s="40"/>
      <c r="M1" s="40"/>
      <c r="N1" s="40"/>
      <c r="O1" s="40"/>
      <c r="P1" s="40"/>
      <c r="Q1" s="38"/>
      <c r="R1" s="38"/>
      <c r="S1" s="38"/>
      <c r="T1" s="38"/>
      <c r="U1" s="38"/>
      <c r="V1" s="38"/>
      <c r="W1" s="38"/>
      <c r="X1" s="38"/>
      <c r="Y1" s="37"/>
      <c r="Z1" s="37"/>
      <c r="AA1" s="37"/>
      <c r="AB1" s="41"/>
      <c r="AC1" s="41"/>
    </row>
    <row r="2" s="23" customFormat="1" ht="50" customHeight="1" spans="1:29">
      <c r="A2" s="42" t="s">
        <v>1</v>
      </c>
      <c r="B2" s="42"/>
      <c r="C2" s="42"/>
      <c r="D2" s="42"/>
      <c r="E2" s="43"/>
      <c r="F2" s="42"/>
      <c r="G2" s="42"/>
      <c r="H2" s="44"/>
      <c r="I2" s="42"/>
      <c r="J2" s="42"/>
      <c r="K2" s="45"/>
      <c r="L2" s="45"/>
      <c r="M2" s="45"/>
      <c r="N2" s="45"/>
      <c r="O2" s="45"/>
      <c r="P2" s="45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6"/>
      <c r="AC2" s="46"/>
    </row>
    <row r="3" s="24" customFormat="1" ht="42" customHeight="1" spans="1:2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13</v>
      </c>
      <c r="L3" s="11" t="s">
        <v>14</v>
      </c>
      <c r="M3" s="11"/>
      <c r="N3" s="11"/>
      <c r="O3" s="11"/>
      <c r="P3" s="11"/>
      <c r="Q3" s="10"/>
      <c r="R3" s="10"/>
      <c r="S3" s="10"/>
      <c r="T3" s="10"/>
      <c r="U3" s="10"/>
      <c r="V3" s="10"/>
      <c r="W3" s="10" t="s">
        <v>10</v>
      </c>
      <c r="X3" s="10" t="s">
        <v>15</v>
      </c>
      <c r="Y3" s="10" t="s">
        <v>16</v>
      </c>
      <c r="Z3" s="10" t="s">
        <v>15</v>
      </c>
      <c r="AA3" s="10" t="s">
        <v>17</v>
      </c>
      <c r="AB3" s="47"/>
      <c r="AC3" s="47"/>
    </row>
    <row r="4" s="24" customFormat="1" ht="42" customHeight="1" spans="1:29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 t="s">
        <v>18</v>
      </c>
      <c r="M4" s="11"/>
      <c r="N4" s="11"/>
      <c r="O4" s="11"/>
      <c r="P4" s="11"/>
      <c r="Q4" s="10"/>
      <c r="R4" s="10"/>
      <c r="S4" s="10"/>
      <c r="T4" s="10" t="s">
        <v>19</v>
      </c>
      <c r="U4" s="10" t="s">
        <v>20</v>
      </c>
      <c r="V4" s="10" t="s">
        <v>21</v>
      </c>
      <c r="W4" s="10"/>
      <c r="X4" s="10"/>
      <c r="Y4" s="10"/>
      <c r="Z4" s="10"/>
      <c r="AA4" s="10"/>
      <c r="AB4" s="47"/>
      <c r="AC4" s="47"/>
    </row>
    <row r="5" s="24" customFormat="1" ht="42" customHeight="1" spans="1:29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  <c r="L5" s="48" t="s">
        <v>22</v>
      </c>
      <c r="M5" s="49" t="s">
        <v>23</v>
      </c>
      <c r="N5" s="50"/>
      <c r="O5" s="48" t="s">
        <v>24</v>
      </c>
      <c r="P5" s="48" t="s">
        <v>25</v>
      </c>
      <c r="Q5" s="12" t="s">
        <v>26</v>
      </c>
      <c r="R5" s="12" t="s">
        <v>27</v>
      </c>
      <c r="S5" s="12" t="s">
        <v>28</v>
      </c>
      <c r="T5" s="10"/>
      <c r="U5" s="10"/>
      <c r="V5" s="10"/>
      <c r="W5" s="10"/>
      <c r="X5" s="10"/>
      <c r="Y5" s="10"/>
      <c r="Z5" s="10"/>
      <c r="AA5" s="10"/>
      <c r="AB5" s="47"/>
      <c r="AC5" s="47"/>
    </row>
    <row r="6" s="24" customFormat="1" ht="42" customHeight="1" spans="1:29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51"/>
      <c r="M6" s="11" t="s">
        <v>29</v>
      </c>
      <c r="N6" s="11" t="s">
        <v>30</v>
      </c>
      <c r="O6" s="51"/>
      <c r="P6" s="51"/>
      <c r="Q6" s="52"/>
      <c r="R6" s="52"/>
      <c r="S6" s="52"/>
      <c r="T6" s="10"/>
      <c r="U6" s="10"/>
      <c r="V6" s="10"/>
      <c r="W6" s="10"/>
      <c r="X6" s="10"/>
      <c r="Y6" s="10"/>
      <c r="Z6" s="10"/>
      <c r="AA6" s="10"/>
      <c r="AB6" s="47"/>
      <c r="AC6" s="47"/>
    </row>
    <row r="7" s="25" customFormat="1" ht="43" hidden="1" customHeight="1" spans="1:29">
      <c r="A7" s="53" t="s">
        <v>31</v>
      </c>
      <c r="B7" s="53"/>
      <c r="C7" s="53"/>
      <c r="D7" s="53"/>
      <c r="E7" s="53"/>
      <c r="F7" s="53"/>
      <c r="G7" s="53"/>
      <c r="H7" s="53" t="e">
        <f>SUM(#REF!,#REF!,#REF!,#REF!,#REF!)</f>
        <v>#REF!</v>
      </c>
      <c r="I7" s="53"/>
      <c r="J7" s="53"/>
      <c r="K7" s="54" t="e">
        <f>SUM(#REF!,#REF!,#REF!,#REF!,#REF!)</f>
        <v>#REF!</v>
      </c>
      <c r="L7" s="54" t="e">
        <f>SUM(#REF!,#REF!,#REF!,#REF!,#REF!)</f>
        <v>#REF!</v>
      </c>
      <c r="M7" s="54" t="e">
        <f>SUM(#REF!,#REF!,#REF!,#REF!,#REF!)</f>
        <v>#REF!</v>
      </c>
      <c r="N7" s="54" t="e">
        <f>SUM(#REF!,#REF!,#REF!,#REF!,#REF!)</f>
        <v>#REF!</v>
      </c>
      <c r="O7" s="54" t="e">
        <f>SUM(#REF!,#REF!,#REF!,#REF!,#REF!)</f>
        <v>#REF!</v>
      </c>
      <c r="P7" s="54" t="e">
        <f>SUM(#REF!,#REF!,#REF!,#REF!,#REF!)</f>
        <v>#REF!</v>
      </c>
      <c r="Q7" s="54" t="e">
        <f>SUM(#REF!,#REF!,#REF!,#REF!,#REF!)</f>
        <v>#REF!</v>
      </c>
      <c r="R7" s="54" t="e">
        <f>SUM(#REF!,#REF!,#REF!,#REF!,#REF!)</f>
        <v>#REF!</v>
      </c>
      <c r="S7" s="54" t="e">
        <f>SUM(#REF!,#REF!,#REF!,#REF!,#REF!)</f>
        <v>#REF!</v>
      </c>
      <c r="T7" s="54" t="e">
        <f>SUM(#REF!,#REF!,#REF!,#REF!,#REF!)</f>
        <v>#REF!</v>
      </c>
      <c r="U7" s="54" t="e">
        <f>SUM(#REF!,#REF!,#REF!,#REF!,#REF!)</f>
        <v>#REF!</v>
      </c>
      <c r="V7" s="54" t="e">
        <f>SUM(#REF!,#REF!,#REF!,#REF!,#REF!)</f>
        <v>#REF!</v>
      </c>
      <c r="W7" s="54"/>
      <c r="X7" s="54"/>
      <c r="Y7" s="55"/>
      <c r="Z7" s="55"/>
      <c r="AA7" s="55"/>
      <c r="AB7" s="56"/>
      <c r="AC7" s="56"/>
    </row>
    <row r="8" s="26" customFormat="1" ht="35.5" spans="1:29">
      <c r="A8" s="57" t="s">
        <v>434</v>
      </c>
      <c r="B8" s="57"/>
      <c r="C8" s="57"/>
      <c r="D8" s="58"/>
      <c r="E8" s="59"/>
      <c r="F8" s="59"/>
      <c r="G8" s="59"/>
      <c r="H8" s="59">
        <v>27</v>
      </c>
      <c r="I8" s="60"/>
      <c r="J8" s="60"/>
      <c r="K8" s="61">
        <f t="shared" ref="K8:V8" si="0">SUM(K9:K33)</f>
        <v>9648.5</v>
      </c>
      <c r="L8" s="61">
        <f t="shared" si="0"/>
        <v>9486.62</v>
      </c>
      <c r="M8" s="61">
        <f t="shared" si="0"/>
        <v>9486.62</v>
      </c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61">
        <f t="shared" si="0"/>
        <v>0</v>
      </c>
      <c r="S8" s="61">
        <f t="shared" si="0"/>
        <v>0</v>
      </c>
      <c r="T8" s="61">
        <f t="shared" si="0"/>
        <v>0</v>
      </c>
      <c r="U8" s="61">
        <f t="shared" si="0"/>
        <v>161.88</v>
      </c>
      <c r="V8" s="61">
        <f t="shared" si="0"/>
        <v>0</v>
      </c>
      <c r="W8" s="59"/>
      <c r="X8" s="59"/>
      <c r="Y8" s="62"/>
      <c r="Z8" s="62"/>
      <c r="AA8" s="62"/>
    </row>
    <row r="9" s="27" customFormat="1" ht="123" customHeight="1" spans="1:29">
      <c r="A9" s="63">
        <v>22</v>
      </c>
      <c r="B9" s="63" t="s">
        <v>435</v>
      </c>
      <c r="C9" s="63" t="s">
        <v>36</v>
      </c>
      <c r="D9" s="63" t="s">
        <v>33</v>
      </c>
      <c r="E9" s="63" t="s">
        <v>37</v>
      </c>
      <c r="F9" s="63" t="s">
        <v>38</v>
      </c>
      <c r="G9" s="63" t="s">
        <v>857</v>
      </c>
      <c r="H9" s="64" t="s">
        <v>858</v>
      </c>
      <c r="I9" s="63" t="s">
        <v>41</v>
      </c>
      <c r="J9" s="63">
        <v>2200</v>
      </c>
      <c r="K9" s="65">
        <f t="shared" ref="K8:K33" si="1">SUM(L9,T9,U9,V9)</f>
        <v>396</v>
      </c>
      <c r="L9" s="65">
        <f t="shared" ref="L8:L33" si="2">SUM(M9:S9)</f>
        <v>396</v>
      </c>
      <c r="M9" s="65">
        <f>J9*0.18</f>
        <v>396</v>
      </c>
      <c r="N9" s="65"/>
      <c r="O9" s="65"/>
      <c r="P9" s="65"/>
      <c r="Q9" s="63"/>
      <c r="R9" s="63"/>
      <c r="S9" s="63"/>
      <c r="T9" s="63"/>
      <c r="U9" s="63"/>
      <c r="V9" s="63"/>
      <c r="W9" s="63" t="s">
        <v>42</v>
      </c>
      <c r="X9" s="63" t="s">
        <v>43</v>
      </c>
      <c r="Y9" s="63" t="s">
        <v>44</v>
      </c>
      <c r="Z9" s="63" t="s">
        <v>45</v>
      </c>
      <c r="AA9" s="63"/>
      <c r="AB9" s="28"/>
      <c r="AC9" s="28"/>
    </row>
    <row r="10" s="27" customFormat="1" ht="123" customHeight="1" spans="1:29">
      <c r="A10" s="63">
        <v>23</v>
      </c>
      <c r="B10" s="63" t="s">
        <v>46</v>
      </c>
      <c r="C10" s="63" t="s">
        <v>437</v>
      </c>
      <c r="D10" s="63" t="s">
        <v>33</v>
      </c>
      <c r="E10" s="63" t="s">
        <v>37</v>
      </c>
      <c r="F10" s="63" t="s">
        <v>38</v>
      </c>
      <c r="G10" s="63" t="s">
        <v>859</v>
      </c>
      <c r="H10" s="64" t="s">
        <v>860</v>
      </c>
      <c r="I10" s="63" t="s">
        <v>41</v>
      </c>
      <c r="J10" s="63">
        <v>2045</v>
      </c>
      <c r="K10" s="65">
        <f t="shared" si="1"/>
        <v>368</v>
      </c>
      <c r="L10" s="65">
        <f t="shared" si="2"/>
        <v>368</v>
      </c>
      <c r="M10" s="65">
        <v>368</v>
      </c>
      <c r="N10" s="65"/>
      <c r="O10" s="65"/>
      <c r="P10" s="65"/>
      <c r="Q10" s="63"/>
      <c r="R10" s="63"/>
      <c r="S10" s="63"/>
      <c r="T10" s="63"/>
      <c r="U10" s="63"/>
      <c r="V10" s="63"/>
      <c r="W10" s="63" t="s">
        <v>190</v>
      </c>
      <c r="X10" s="63" t="s">
        <v>191</v>
      </c>
      <c r="Y10" s="63" t="s">
        <v>44</v>
      </c>
      <c r="Z10" s="63" t="s">
        <v>45</v>
      </c>
      <c r="AA10" s="63"/>
      <c r="AB10" s="28"/>
      <c r="AC10" s="28"/>
    </row>
    <row r="11" s="27" customFormat="1" ht="123" customHeight="1" spans="1:29">
      <c r="A11" s="63">
        <v>24</v>
      </c>
      <c r="B11" s="63" t="s">
        <v>51</v>
      </c>
      <c r="C11" s="63" t="s">
        <v>47</v>
      </c>
      <c r="D11" s="63" t="s">
        <v>33</v>
      </c>
      <c r="E11" s="63" t="s">
        <v>37</v>
      </c>
      <c r="F11" s="63" t="s">
        <v>38</v>
      </c>
      <c r="G11" s="63" t="s">
        <v>861</v>
      </c>
      <c r="H11" s="64" t="s">
        <v>862</v>
      </c>
      <c r="I11" s="63" t="s">
        <v>41</v>
      </c>
      <c r="J11" s="63">
        <v>1600</v>
      </c>
      <c r="K11" s="65">
        <f t="shared" si="1"/>
        <v>288</v>
      </c>
      <c r="L11" s="65">
        <f t="shared" si="2"/>
        <v>126.12</v>
      </c>
      <c r="M11" s="65">
        <f>J11*0.18-U11</f>
        <v>126.12</v>
      </c>
      <c r="N11" s="65"/>
      <c r="O11" s="65"/>
      <c r="P11" s="65"/>
      <c r="Q11" s="63"/>
      <c r="R11" s="63"/>
      <c r="S11" s="63"/>
      <c r="T11" s="63"/>
      <c r="U11" s="63">
        <f>94.88+67</f>
        <v>161.88</v>
      </c>
      <c r="V11" s="63"/>
      <c r="W11" s="63" t="s">
        <v>48</v>
      </c>
      <c r="X11" s="63" t="s">
        <v>50</v>
      </c>
      <c r="Y11" s="63" t="s">
        <v>44</v>
      </c>
      <c r="Z11" s="63" t="s">
        <v>45</v>
      </c>
      <c r="AA11" s="63"/>
      <c r="AB11" s="28"/>
      <c r="AC11" s="28"/>
    </row>
    <row r="12" s="27" customFormat="1" ht="123" customHeight="1" spans="1:29">
      <c r="A12" s="63">
        <v>25</v>
      </c>
      <c r="B12" s="63" t="s">
        <v>440</v>
      </c>
      <c r="C12" s="63" t="s">
        <v>52</v>
      </c>
      <c r="D12" s="63" t="s">
        <v>33</v>
      </c>
      <c r="E12" s="63" t="s">
        <v>37</v>
      </c>
      <c r="F12" s="63" t="s">
        <v>38</v>
      </c>
      <c r="G12" s="63" t="s">
        <v>53</v>
      </c>
      <c r="H12" s="64" t="s">
        <v>863</v>
      </c>
      <c r="I12" s="63" t="s">
        <v>41</v>
      </c>
      <c r="J12" s="63">
        <v>2260</v>
      </c>
      <c r="K12" s="65">
        <f t="shared" si="1"/>
        <v>398</v>
      </c>
      <c r="L12" s="65">
        <f t="shared" si="2"/>
        <v>398</v>
      </c>
      <c r="M12" s="65">
        <v>398</v>
      </c>
      <c r="N12" s="65"/>
      <c r="O12" s="65"/>
      <c r="P12" s="65"/>
      <c r="Q12" s="63"/>
      <c r="R12" s="63"/>
      <c r="S12" s="63"/>
      <c r="T12" s="63"/>
      <c r="U12" s="63"/>
      <c r="V12" s="63"/>
      <c r="W12" s="63" t="s">
        <v>53</v>
      </c>
      <c r="X12" s="63" t="s">
        <v>864</v>
      </c>
      <c r="Y12" s="63" t="s">
        <v>44</v>
      </c>
      <c r="Z12" s="63" t="s">
        <v>45</v>
      </c>
      <c r="AA12" s="63"/>
      <c r="AB12" s="28"/>
      <c r="AC12" s="28"/>
    </row>
    <row r="13" s="27" customFormat="1" ht="123" customHeight="1" spans="1:29">
      <c r="A13" s="63">
        <v>26</v>
      </c>
      <c r="B13" s="63" t="s">
        <v>126</v>
      </c>
      <c r="C13" s="63" t="s">
        <v>442</v>
      </c>
      <c r="D13" s="63" t="s">
        <v>33</v>
      </c>
      <c r="E13" s="63" t="s">
        <v>37</v>
      </c>
      <c r="F13" s="63" t="s">
        <v>38</v>
      </c>
      <c r="G13" s="63" t="s">
        <v>865</v>
      </c>
      <c r="H13" s="64" t="s">
        <v>866</v>
      </c>
      <c r="I13" s="63" t="s">
        <v>41</v>
      </c>
      <c r="J13" s="63">
        <v>1788</v>
      </c>
      <c r="K13" s="65">
        <f t="shared" si="1"/>
        <v>320</v>
      </c>
      <c r="L13" s="65">
        <f t="shared" si="2"/>
        <v>320</v>
      </c>
      <c r="M13" s="65">
        <v>320</v>
      </c>
      <c r="N13" s="65"/>
      <c r="O13" s="65"/>
      <c r="P13" s="65"/>
      <c r="Q13" s="63"/>
      <c r="R13" s="63"/>
      <c r="S13" s="63"/>
      <c r="T13" s="63"/>
      <c r="U13" s="63"/>
      <c r="V13" s="63"/>
      <c r="W13" s="63" t="s">
        <v>173</v>
      </c>
      <c r="X13" s="63" t="s">
        <v>174</v>
      </c>
      <c r="Y13" s="63" t="s">
        <v>44</v>
      </c>
      <c r="Z13" s="63" t="s">
        <v>45</v>
      </c>
      <c r="AA13" s="63"/>
      <c r="AB13" s="28"/>
      <c r="AC13" s="28"/>
    </row>
    <row r="14" s="27" customFormat="1" ht="123" customHeight="1" spans="1:29">
      <c r="A14" s="63">
        <v>27</v>
      </c>
      <c r="B14" s="63" t="s">
        <v>56</v>
      </c>
      <c r="C14" s="63" t="s">
        <v>127</v>
      </c>
      <c r="D14" s="63" t="s">
        <v>33</v>
      </c>
      <c r="E14" s="63" t="s">
        <v>37</v>
      </c>
      <c r="F14" s="63" t="s">
        <v>38</v>
      </c>
      <c r="G14" s="63" t="s">
        <v>130</v>
      </c>
      <c r="H14" s="64" t="s">
        <v>444</v>
      </c>
      <c r="I14" s="63" t="s">
        <v>41</v>
      </c>
      <c r="J14" s="63">
        <v>1500</v>
      </c>
      <c r="K14" s="65">
        <f t="shared" si="1"/>
        <v>270</v>
      </c>
      <c r="L14" s="65">
        <f t="shared" si="2"/>
        <v>270</v>
      </c>
      <c r="M14" s="65">
        <f t="shared" ref="M14:M19" si="3">J14*0.18</f>
        <v>270</v>
      </c>
      <c r="N14" s="65"/>
      <c r="O14" s="65"/>
      <c r="P14" s="65"/>
      <c r="Q14" s="63"/>
      <c r="R14" s="63"/>
      <c r="S14" s="63"/>
      <c r="T14" s="63"/>
      <c r="U14" s="63"/>
      <c r="V14" s="63"/>
      <c r="W14" s="63" t="s">
        <v>130</v>
      </c>
      <c r="X14" s="63" t="s">
        <v>867</v>
      </c>
      <c r="Y14" s="63" t="s">
        <v>44</v>
      </c>
      <c r="Z14" s="63" t="s">
        <v>45</v>
      </c>
      <c r="AA14" s="63"/>
      <c r="AB14" s="28"/>
      <c r="AC14" s="28"/>
    </row>
    <row r="15" s="27" customFormat="1" ht="123" customHeight="1" spans="1:29">
      <c r="A15" s="63">
        <v>28</v>
      </c>
      <c r="B15" s="63" t="s">
        <v>61</v>
      </c>
      <c r="C15" s="63" t="s">
        <v>57</v>
      </c>
      <c r="D15" s="63" t="s">
        <v>33</v>
      </c>
      <c r="E15" s="63" t="s">
        <v>37</v>
      </c>
      <c r="F15" s="63" t="s">
        <v>38</v>
      </c>
      <c r="G15" s="63" t="s">
        <v>58</v>
      </c>
      <c r="H15" s="64" t="s">
        <v>858</v>
      </c>
      <c r="I15" s="63" t="s">
        <v>41</v>
      </c>
      <c r="J15" s="63">
        <v>2200</v>
      </c>
      <c r="K15" s="65">
        <f t="shared" si="1"/>
        <v>396</v>
      </c>
      <c r="L15" s="65">
        <f t="shared" si="2"/>
        <v>396</v>
      </c>
      <c r="M15" s="65">
        <f t="shared" si="3"/>
        <v>396</v>
      </c>
      <c r="N15" s="65"/>
      <c r="O15" s="65"/>
      <c r="P15" s="65"/>
      <c r="Q15" s="63"/>
      <c r="R15" s="63"/>
      <c r="S15" s="63"/>
      <c r="T15" s="63"/>
      <c r="U15" s="63"/>
      <c r="V15" s="63"/>
      <c r="W15" s="63" t="s">
        <v>58</v>
      </c>
      <c r="X15" s="63" t="s">
        <v>60</v>
      </c>
      <c r="Y15" s="63" t="s">
        <v>44</v>
      </c>
      <c r="Z15" s="63" t="s">
        <v>45</v>
      </c>
      <c r="AA15" s="63"/>
      <c r="AB15" s="28"/>
      <c r="AC15" s="28"/>
    </row>
    <row r="16" s="27" customFormat="1" ht="123" customHeight="1" spans="1:29">
      <c r="A16" s="63">
        <v>29</v>
      </c>
      <c r="B16" s="63" t="s">
        <v>66</v>
      </c>
      <c r="C16" s="63" t="s">
        <v>62</v>
      </c>
      <c r="D16" s="63" t="s">
        <v>33</v>
      </c>
      <c r="E16" s="63" t="s">
        <v>37</v>
      </c>
      <c r="F16" s="63" t="s">
        <v>38</v>
      </c>
      <c r="G16" s="63" t="s">
        <v>63</v>
      </c>
      <c r="H16" s="64" t="s">
        <v>858</v>
      </c>
      <c r="I16" s="63" t="s">
        <v>41</v>
      </c>
      <c r="J16" s="63">
        <v>2200</v>
      </c>
      <c r="K16" s="65">
        <f t="shared" si="1"/>
        <v>396</v>
      </c>
      <c r="L16" s="65">
        <f t="shared" si="2"/>
        <v>396</v>
      </c>
      <c r="M16" s="65">
        <f t="shared" si="3"/>
        <v>396</v>
      </c>
      <c r="N16" s="65"/>
      <c r="O16" s="65"/>
      <c r="P16" s="65"/>
      <c r="Q16" s="63"/>
      <c r="R16" s="63"/>
      <c r="S16" s="63"/>
      <c r="T16" s="63"/>
      <c r="U16" s="63"/>
      <c r="V16" s="63"/>
      <c r="W16" s="63" t="s">
        <v>63</v>
      </c>
      <c r="X16" s="63" t="s">
        <v>65</v>
      </c>
      <c r="Y16" s="63" t="s">
        <v>44</v>
      </c>
      <c r="Z16" s="63" t="s">
        <v>45</v>
      </c>
      <c r="AA16" s="63"/>
      <c r="AB16" s="28"/>
      <c r="AC16" s="28"/>
    </row>
    <row r="17" s="27" customFormat="1" ht="123" customHeight="1" spans="1:29">
      <c r="A17" s="63">
        <v>30</v>
      </c>
      <c r="B17" s="63" t="s">
        <v>71</v>
      </c>
      <c r="C17" s="63" t="s">
        <v>67</v>
      </c>
      <c r="D17" s="63" t="s">
        <v>33</v>
      </c>
      <c r="E17" s="63" t="s">
        <v>37</v>
      </c>
      <c r="F17" s="63" t="s">
        <v>38</v>
      </c>
      <c r="G17" s="63" t="s">
        <v>868</v>
      </c>
      <c r="H17" s="64" t="s">
        <v>858</v>
      </c>
      <c r="I17" s="63" t="s">
        <v>41</v>
      </c>
      <c r="J17" s="63">
        <v>2200</v>
      </c>
      <c r="K17" s="65">
        <f t="shared" si="1"/>
        <v>396</v>
      </c>
      <c r="L17" s="65">
        <f t="shared" si="2"/>
        <v>396</v>
      </c>
      <c r="M17" s="65">
        <f t="shared" si="3"/>
        <v>396</v>
      </c>
      <c r="N17" s="65"/>
      <c r="O17" s="65"/>
      <c r="P17" s="65"/>
      <c r="Q17" s="63"/>
      <c r="R17" s="63"/>
      <c r="S17" s="63"/>
      <c r="T17" s="63"/>
      <c r="U17" s="63"/>
      <c r="V17" s="63"/>
      <c r="W17" s="63" t="s">
        <v>69</v>
      </c>
      <c r="X17" s="63" t="s">
        <v>115</v>
      </c>
      <c r="Y17" s="63" t="s">
        <v>44</v>
      </c>
      <c r="Z17" s="63" t="s">
        <v>45</v>
      </c>
      <c r="AA17" s="63"/>
      <c r="AB17" s="28"/>
      <c r="AC17" s="28"/>
    </row>
    <row r="18" s="27" customFormat="1" ht="123" customHeight="1" spans="1:29">
      <c r="A18" s="63">
        <v>31</v>
      </c>
      <c r="B18" s="63" t="s">
        <v>75</v>
      </c>
      <c r="C18" s="63" t="s">
        <v>72</v>
      </c>
      <c r="D18" s="63" t="s">
        <v>33</v>
      </c>
      <c r="E18" s="63" t="s">
        <v>37</v>
      </c>
      <c r="F18" s="63" t="s">
        <v>38</v>
      </c>
      <c r="G18" s="63" t="s">
        <v>73</v>
      </c>
      <c r="H18" s="64" t="s">
        <v>858</v>
      </c>
      <c r="I18" s="63" t="s">
        <v>41</v>
      </c>
      <c r="J18" s="63">
        <v>2200</v>
      </c>
      <c r="K18" s="65">
        <f t="shared" si="1"/>
        <v>396</v>
      </c>
      <c r="L18" s="65">
        <f t="shared" si="2"/>
        <v>396</v>
      </c>
      <c r="M18" s="65">
        <f t="shared" si="3"/>
        <v>396</v>
      </c>
      <c r="N18" s="65"/>
      <c r="O18" s="65"/>
      <c r="P18" s="65"/>
      <c r="Q18" s="63"/>
      <c r="R18" s="63"/>
      <c r="S18" s="63"/>
      <c r="T18" s="63"/>
      <c r="U18" s="63"/>
      <c r="V18" s="63"/>
      <c r="W18" s="63" t="s">
        <v>73</v>
      </c>
      <c r="X18" s="63" t="s">
        <v>74</v>
      </c>
      <c r="Y18" s="63" t="s">
        <v>44</v>
      </c>
      <c r="Z18" s="63" t="s">
        <v>45</v>
      </c>
      <c r="AA18" s="63"/>
      <c r="AB18" s="28"/>
      <c r="AC18" s="28"/>
    </row>
    <row r="19" s="27" customFormat="1" ht="123" customHeight="1" spans="1:29">
      <c r="A19" s="63">
        <v>32</v>
      </c>
      <c r="B19" s="63" t="s">
        <v>80</v>
      </c>
      <c r="C19" s="63" t="s">
        <v>76</v>
      </c>
      <c r="D19" s="63" t="s">
        <v>33</v>
      </c>
      <c r="E19" s="63" t="s">
        <v>37</v>
      </c>
      <c r="F19" s="63" t="s">
        <v>38</v>
      </c>
      <c r="G19" s="63" t="s">
        <v>869</v>
      </c>
      <c r="H19" s="64" t="s">
        <v>858</v>
      </c>
      <c r="I19" s="63" t="s">
        <v>41</v>
      </c>
      <c r="J19" s="63">
        <v>2200</v>
      </c>
      <c r="K19" s="65">
        <f t="shared" si="1"/>
        <v>396</v>
      </c>
      <c r="L19" s="65">
        <f t="shared" si="2"/>
        <v>396</v>
      </c>
      <c r="M19" s="65">
        <f t="shared" si="3"/>
        <v>396</v>
      </c>
      <c r="N19" s="65"/>
      <c r="O19" s="65"/>
      <c r="P19" s="65"/>
      <c r="Q19" s="63"/>
      <c r="R19" s="63"/>
      <c r="S19" s="63"/>
      <c r="T19" s="63"/>
      <c r="U19" s="63"/>
      <c r="V19" s="63"/>
      <c r="W19" s="63" t="s">
        <v>77</v>
      </c>
      <c r="X19" s="63" t="s">
        <v>55</v>
      </c>
      <c r="Y19" s="63" t="s">
        <v>44</v>
      </c>
      <c r="Z19" s="63" t="s">
        <v>45</v>
      </c>
      <c r="AA19" s="63"/>
      <c r="AB19" s="28"/>
      <c r="AC19" s="28"/>
    </row>
    <row r="20" s="27" customFormat="1" ht="123" customHeight="1" spans="1:29">
      <c r="A20" s="63">
        <v>33</v>
      </c>
      <c r="B20" s="63" t="s">
        <v>86</v>
      </c>
      <c r="C20" s="63" t="s">
        <v>81</v>
      </c>
      <c r="D20" s="63" t="s">
        <v>33</v>
      </c>
      <c r="E20" s="63" t="s">
        <v>37</v>
      </c>
      <c r="F20" s="63" t="s">
        <v>38</v>
      </c>
      <c r="G20" s="63" t="s">
        <v>82</v>
      </c>
      <c r="H20" s="64" t="s">
        <v>870</v>
      </c>
      <c r="I20" s="63" t="s">
        <v>41</v>
      </c>
      <c r="J20" s="63">
        <v>2367</v>
      </c>
      <c r="K20" s="65">
        <f t="shared" si="1"/>
        <v>395</v>
      </c>
      <c r="L20" s="65">
        <f t="shared" si="2"/>
        <v>395</v>
      </c>
      <c r="M20" s="65">
        <v>395</v>
      </c>
      <c r="N20" s="65"/>
      <c r="O20" s="65"/>
      <c r="P20" s="65"/>
      <c r="Q20" s="63"/>
      <c r="R20" s="63"/>
      <c r="S20" s="63"/>
      <c r="T20" s="63"/>
      <c r="U20" s="63"/>
      <c r="V20" s="63"/>
      <c r="W20" s="63" t="s">
        <v>84</v>
      </c>
      <c r="X20" s="63" t="s">
        <v>85</v>
      </c>
      <c r="Y20" s="63" t="s">
        <v>44</v>
      </c>
      <c r="Z20" s="63" t="s">
        <v>45</v>
      </c>
      <c r="AA20" s="63"/>
      <c r="AB20" s="28"/>
      <c r="AC20" s="28"/>
    </row>
    <row r="21" s="27" customFormat="1" ht="123" customHeight="1" spans="1:29">
      <c r="A21" s="63">
        <v>34</v>
      </c>
      <c r="B21" s="63" t="s">
        <v>100</v>
      </c>
      <c r="C21" s="63" t="s">
        <v>87</v>
      </c>
      <c r="D21" s="63" t="s">
        <v>33</v>
      </c>
      <c r="E21" s="63" t="s">
        <v>37</v>
      </c>
      <c r="F21" s="63" t="s">
        <v>38</v>
      </c>
      <c r="G21" s="63" t="s">
        <v>88</v>
      </c>
      <c r="H21" s="64" t="s">
        <v>858</v>
      </c>
      <c r="I21" s="63" t="s">
        <v>41</v>
      </c>
      <c r="J21" s="63">
        <v>2200</v>
      </c>
      <c r="K21" s="65">
        <f t="shared" si="1"/>
        <v>396</v>
      </c>
      <c r="L21" s="65">
        <f t="shared" si="2"/>
        <v>396</v>
      </c>
      <c r="M21" s="65">
        <f t="shared" ref="M21:M24" si="4">J21*0.18</f>
        <v>396</v>
      </c>
      <c r="N21" s="65"/>
      <c r="O21" s="65"/>
      <c r="P21" s="65"/>
      <c r="Q21" s="63"/>
      <c r="R21" s="63"/>
      <c r="S21" s="63"/>
      <c r="T21" s="63"/>
      <c r="U21" s="63"/>
      <c r="V21" s="63"/>
      <c r="W21" s="63" t="s">
        <v>88</v>
      </c>
      <c r="X21" s="63" t="s">
        <v>89</v>
      </c>
      <c r="Y21" s="63" t="s">
        <v>44</v>
      </c>
      <c r="Z21" s="63" t="s">
        <v>45</v>
      </c>
      <c r="AA21" s="63"/>
      <c r="AB21" s="28"/>
      <c r="AC21" s="28"/>
    </row>
    <row r="22" s="27" customFormat="1" ht="123" customHeight="1" spans="1:29">
      <c r="A22" s="63">
        <v>35</v>
      </c>
      <c r="B22" s="63" t="s">
        <v>92</v>
      </c>
      <c r="C22" s="63" t="s">
        <v>452</v>
      </c>
      <c r="D22" s="63" t="s">
        <v>33</v>
      </c>
      <c r="E22" s="63" t="s">
        <v>37</v>
      </c>
      <c r="F22" s="63" t="s">
        <v>38</v>
      </c>
      <c r="G22" s="63" t="s">
        <v>871</v>
      </c>
      <c r="H22" s="64" t="s">
        <v>872</v>
      </c>
      <c r="I22" s="63" t="s">
        <v>41</v>
      </c>
      <c r="J22" s="63">
        <v>2150</v>
      </c>
      <c r="K22" s="65">
        <f t="shared" si="1"/>
        <v>387</v>
      </c>
      <c r="L22" s="65">
        <f t="shared" si="2"/>
        <v>387</v>
      </c>
      <c r="M22" s="65">
        <f t="shared" si="4"/>
        <v>387</v>
      </c>
      <c r="N22" s="65"/>
      <c r="O22" s="65"/>
      <c r="P22" s="65"/>
      <c r="Q22" s="63"/>
      <c r="R22" s="63"/>
      <c r="S22" s="63"/>
      <c r="T22" s="63"/>
      <c r="U22" s="63"/>
      <c r="V22" s="63"/>
      <c r="W22" s="63" t="s">
        <v>104</v>
      </c>
      <c r="X22" s="63" t="s">
        <v>105</v>
      </c>
      <c r="Y22" s="63" t="s">
        <v>44</v>
      </c>
      <c r="Z22" s="63" t="s">
        <v>45</v>
      </c>
      <c r="AA22" s="63"/>
      <c r="AB22" s="28"/>
      <c r="AC22" s="28"/>
    </row>
    <row r="23" s="27" customFormat="1" ht="123" customHeight="1" spans="1:29">
      <c r="A23" s="63">
        <v>36</v>
      </c>
      <c r="B23" s="63" t="s">
        <v>454</v>
      </c>
      <c r="C23" s="63" t="s">
        <v>93</v>
      </c>
      <c r="D23" s="63" t="s">
        <v>33</v>
      </c>
      <c r="E23" s="63" t="s">
        <v>37</v>
      </c>
      <c r="F23" s="63" t="s">
        <v>38</v>
      </c>
      <c r="G23" s="63" t="s">
        <v>94</v>
      </c>
      <c r="H23" s="64" t="s">
        <v>858</v>
      </c>
      <c r="I23" s="63" t="s">
        <v>41</v>
      </c>
      <c r="J23" s="63">
        <v>2200</v>
      </c>
      <c r="K23" s="65">
        <f t="shared" si="1"/>
        <v>396</v>
      </c>
      <c r="L23" s="65">
        <f t="shared" si="2"/>
        <v>396</v>
      </c>
      <c r="M23" s="65">
        <f t="shared" si="4"/>
        <v>396</v>
      </c>
      <c r="N23" s="65"/>
      <c r="O23" s="65"/>
      <c r="P23" s="65"/>
      <c r="Q23" s="63"/>
      <c r="R23" s="63"/>
      <c r="S23" s="63"/>
      <c r="T23" s="63"/>
      <c r="U23" s="63"/>
      <c r="V23" s="63"/>
      <c r="W23" s="63" t="s">
        <v>94</v>
      </c>
      <c r="X23" s="63" t="s">
        <v>96</v>
      </c>
      <c r="Y23" s="63" t="s">
        <v>44</v>
      </c>
      <c r="Z23" s="63" t="s">
        <v>45</v>
      </c>
      <c r="AA23" s="63"/>
      <c r="AB23" s="28"/>
      <c r="AC23" s="28"/>
    </row>
    <row r="24" s="27" customFormat="1" ht="123" customHeight="1" spans="1:29">
      <c r="A24" s="63">
        <v>37</v>
      </c>
      <c r="B24" s="63" t="s">
        <v>456</v>
      </c>
      <c r="C24" s="63" t="s">
        <v>457</v>
      </c>
      <c r="D24" s="63" t="s">
        <v>33</v>
      </c>
      <c r="E24" s="63" t="s">
        <v>37</v>
      </c>
      <c r="F24" s="63" t="s">
        <v>38</v>
      </c>
      <c r="G24" s="63" t="s">
        <v>142</v>
      </c>
      <c r="H24" s="64" t="s">
        <v>873</v>
      </c>
      <c r="I24" s="63" t="s">
        <v>41</v>
      </c>
      <c r="J24" s="63">
        <v>2000</v>
      </c>
      <c r="K24" s="65">
        <f t="shared" si="1"/>
        <v>360</v>
      </c>
      <c r="L24" s="65">
        <f t="shared" si="2"/>
        <v>360</v>
      </c>
      <c r="M24" s="65">
        <f t="shared" si="4"/>
        <v>360</v>
      </c>
      <c r="N24" s="65"/>
      <c r="O24" s="65"/>
      <c r="P24" s="65"/>
      <c r="Q24" s="63"/>
      <c r="R24" s="63"/>
      <c r="S24" s="63"/>
      <c r="T24" s="63"/>
      <c r="U24" s="63"/>
      <c r="V24" s="63"/>
      <c r="W24" s="63" t="s">
        <v>142</v>
      </c>
      <c r="X24" s="63" t="s">
        <v>874</v>
      </c>
      <c r="Y24" s="63" t="s">
        <v>44</v>
      </c>
      <c r="Z24" s="63" t="s">
        <v>45</v>
      </c>
      <c r="AA24" s="63"/>
      <c r="AB24" s="28"/>
      <c r="AC24" s="28"/>
    </row>
    <row r="25" s="27" customFormat="1" ht="123" customHeight="1" spans="1:29">
      <c r="A25" s="63">
        <v>38</v>
      </c>
      <c r="B25" s="63" t="s">
        <v>459</v>
      </c>
      <c r="C25" s="63" t="s">
        <v>460</v>
      </c>
      <c r="D25" s="63" t="s">
        <v>33</v>
      </c>
      <c r="E25" s="63" t="s">
        <v>37</v>
      </c>
      <c r="F25" s="63" t="s">
        <v>38</v>
      </c>
      <c r="G25" s="63" t="s">
        <v>190</v>
      </c>
      <c r="H25" s="64" t="s">
        <v>875</v>
      </c>
      <c r="I25" s="63" t="s">
        <v>41</v>
      </c>
      <c r="J25" s="63">
        <v>2045</v>
      </c>
      <c r="K25" s="65">
        <f t="shared" si="1"/>
        <v>306</v>
      </c>
      <c r="L25" s="65">
        <f t="shared" si="2"/>
        <v>306</v>
      </c>
      <c r="M25" s="65">
        <v>306</v>
      </c>
      <c r="N25" s="65"/>
      <c r="O25" s="65"/>
      <c r="P25" s="65"/>
      <c r="Q25" s="63"/>
      <c r="R25" s="63"/>
      <c r="S25" s="63"/>
      <c r="T25" s="63"/>
      <c r="U25" s="63"/>
      <c r="V25" s="63"/>
      <c r="W25" s="63" t="s">
        <v>190</v>
      </c>
      <c r="X25" s="63" t="s">
        <v>191</v>
      </c>
      <c r="Y25" s="63" t="s">
        <v>44</v>
      </c>
      <c r="Z25" s="63" t="s">
        <v>45</v>
      </c>
      <c r="AA25" s="63"/>
      <c r="AB25" s="28"/>
      <c r="AC25" s="28"/>
    </row>
    <row r="26" s="27" customFormat="1" ht="123" customHeight="1" spans="1:29">
      <c r="A26" s="63">
        <v>39</v>
      </c>
      <c r="B26" s="63" t="s">
        <v>462</v>
      </c>
      <c r="C26" s="63" t="s">
        <v>463</v>
      </c>
      <c r="D26" s="63" t="s">
        <v>33</v>
      </c>
      <c r="E26" s="63" t="s">
        <v>37</v>
      </c>
      <c r="F26" s="63" t="s">
        <v>38</v>
      </c>
      <c r="G26" s="63" t="s">
        <v>48</v>
      </c>
      <c r="H26" s="64" t="s">
        <v>876</v>
      </c>
      <c r="I26" s="63" t="s">
        <v>41</v>
      </c>
      <c r="J26" s="63">
        <v>2600</v>
      </c>
      <c r="K26" s="65">
        <f t="shared" si="1"/>
        <v>390</v>
      </c>
      <c r="L26" s="65">
        <f t="shared" si="2"/>
        <v>390</v>
      </c>
      <c r="M26" s="65">
        <f t="shared" ref="M26:M32" si="5">J26*0.15</f>
        <v>390</v>
      </c>
      <c r="N26" s="65"/>
      <c r="O26" s="65"/>
      <c r="P26" s="65"/>
      <c r="Q26" s="63"/>
      <c r="R26" s="63"/>
      <c r="S26" s="63"/>
      <c r="T26" s="63"/>
      <c r="U26" s="63"/>
      <c r="V26" s="63"/>
      <c r="W26" s="63" t="s">
        <v>48</v>
      </c>
      <c r="X26" s="63" t="s">
        <v>50</v>
      </c>
      <c r="Y26" s="63" t="s">
        <v>44</v>
      </c>
      <c r="Z26" s="63" t="s">
        <v>45</v>
      </c>
      <c r="AA26" s="63"/>
      <c r="AB26" s="28"/>
      <c r="AC26" s="28"/>
    </row>
    <row r="27" s="27" customFormat="1" ht="123" customHeight="1" spans="1:29">
      <c r="A27" s="63">
        <v>40</v>
      </c>
      <c r="B27" s="63" t="s">
        <v>465</v>
      </c>
      <c r="C27" s="63" t="s">
        <v>466</v>
      </c>
      <c r="D27" s="63" t="s">
        <v>33</v>
      </c>
      <c r="E27" s="63" t="s">
        <v>37</v>
      </c>
      <c r="F27" s="63" t="s">
        <v>38</v>
      </c>
      <c r="G27" s="63" t="s">
        <v>173</v>
      </c>
      <c r="H27" s="64" t="s">
        <v>877</v>
      </c>
      <c r="I27" s="63" t="s">
        <v>41</v>
      </c>
      <c r="J27" s="63">
        <v>4400</v>
      </c>
      <c r="K27" s="65">
        <f t="shared" si="1"/>
        <v>660</v>
      </c>
      <c r="L27" s="65">
        <f t="shared" si="2"/>
        <v>660</v>
      </c>
      <c r="M27" s="65">
        <f t="shared" si="5"/>
        <v>660</v>
      </c>
      <c r="N27" s="65"/>
      <c r="O27" s="65"/>
      <c r="P27" s="65"/>
      <c r="Q27" s="63"/>
      <c r="R27" s="63"/>
      <c r="S27" s="63"/>
      <c r="T27" s="63"/>
      <c r="U27" s="63"/>
      <c r="V27" s="63"/>
      <c r="W27" s="63" t="s">
        <v>173</v>
      </c>
      <c r="X27" s="63" t="s">
        <v>174</v>
      </c>
      <c r="Y27" s="63" t="s">
        <v>44</v>
      </c>
      <c r="Z27" s="63" t="s">
        <v>45</v>
      </c>
      <c r="AA27" s="63"/>
      <c r="AB27" s="28"/>
      <c r="AC27" s="28"/>
    </row>
    <row r="28" s="27" customFormat="1" ht="123" customHeight="1" spans="1:29">
      <c r="A28" s="63">
        <v>42</v>
      </c>
      <c r="B28" s="63" t="s">
        <v>470</v>
      </c>
      <c r="C28" s="63" t="s">
        <v>133</v>
      </c>
      <c r="D28" s="63" t="s">
        <v>33</v>
      </c>
      <c r="E28" s="63" t="s">
        <v>37</v>
      </c>
      <c r="F28" s="63" t="s">
        <v>38</v>
      </c>
      <c r="G28" s="63" t="s">
        <v>130</v>
      </c>
      <c r="H28" s="64" t="s">
        <v>471</v>
      </c>
      <c r="I28" s="63" t="s">
        <v>41</v>
      </c>
      <c r="J28" s="63">
        <v>1500</v>
      </c>
      <c r="K28" s="65">
        <f t="shared" si="1"/>
        <v>225</v>
      </c>
      <c r="L28" s="65">
        <f t="shared" si="2"/>
        <v>225</v>
      </c>
      <c r="M28" s="65">
        <v>225</v>
      </c>
      <c r="N28" s="65"/>
      <c r="O28" s="65"/>
      <c r="P28" s="65"/>
      <c r="Q28" s="63"/>
      <c r="R28" s="63"/>
      <c r="S28" s="63"/>
      <c r="T28" s="63"/>
      <c r="U28" s="63"/>
      <c r="V28" s="63"/>
      <c r="W28" s="63" t="s">
        <v>130</v>
      </c>
      <c r="X28" s="63" t="s">
        <v>867</v>
      </c>
      <c r="Y28" s="63" t="s">
        <v>44</v>
      </c>
      <c r="Z28" s="63" t="s">
        <v>45</v>
      </c>
      <c r="AA28" s="63"/>
      <c r="AB28" s="28"/>
      <c r="AC28" s="28"/>
    </row>
    <row r="29" s="27" customFormat="1" ht="123" customHeight="1" spans="1:29">
      <c r="A29" s="63">
        <v>43</v>
      </c>
      <c r="B29" s="63" t="s">
        <v>472</v>
      </c>
      <c r="C29" s="63" t="s">
        <v>473</v>
      </c>
      <c r="D29" s="63" t="s">
        <v>33</v>
      </c>
      <c r="E29" s="63" t="s">
        <v>37</v>
      </c>
      <c r="F29" s="63" t="s">
        <v>38</v>
      </c>
      <c r="G29" s="63" t="s">
        <v>63</v>
      </c>
      <c r="H29" s="64" t="s">
        <v>878</v>
      </c>
      <c r="I29" s="63" t="s">
        <v>41</v>
      </c>
      <c r="J29" s="63">
        <v>2200</v>
      </c>
      <c r="K29" s="65">
        <f t="shared" si="1"/>
        <v>330</v>
      </c>
      <c r="L29" s="65">
        <f t="shared" si="2"/>
        <v>330</v>
      </c>
      <c r="M29" s="65">
        <f t="shared" si="5"/>
        <v>330</v>
      </c>
      <c r="N29" s="65"/>
      <c r="O29" s="65"/>
      <c r="P29" s="65"/>
      <c r="Q29" s="63"/>
      <c r="R29" s="63"/>
      <c r="S29" s="63"/>
      <c r="T29" s="63"/>
      <c r="U29" s="63"/>
      <c r="V29" s="63"/>
      <c r="W29" s="63" t="s">
        <v>63</v>
      </c>
      <c r="X29" s="63" t="s">
        <v>65</v>
      </c>
      <c r="Y29" s="63" t="s">
        <v>44</v>
      </c>
      <c r="Z29" s="63" t="s">
        <v>45</v>
      </c>
      <c r="AA29" s="63"/>
      <c r="AB29" s="28"/>
      <c r="AC29" s="28"/>
    </row>
    <row r="30" s="28" customFormat="1" ht="123" customHeight="1" spans="1:29">
      <c r="A30" s="63">
        <v>45</v>
      </c>
      <c r="B30" s="63" t="s">
        <v>481</v>
      </c>
      <c r="C30" s="66" t="s">
        <v>482</v>
      </c>
      <c r="D30" s="63" t="s">
        <v>33</v>
      </c>
      <c r="E30" s="63" t="s">
        <v>37</v>
      </c>
      <c r="F30" s="63" t="s">
        <v>38</v>
      </c>
      <c r="G30" s="63" t="s">
        <v>88</v>
      </c>
      <c r="H30" s="64" t="s">
        <v>879</v>
      </c>
      <c r="I30" s="63" t="s">
        <v>41</v>
      </c>
      <c r="J30" s="63">
        <v>3500</v>
      </c>
      <c r="K30" s="65">
        <f t="shared" si="1"/>
        <v>525</v>
      </c>
      <c r="L30" s="65">
        <f t="shared" si="2"/>
        <v>525</v>
      </c>
      <c r="M30" s="65">
        <f t="shared" si="5"/>
        <v>525</v>
      </c>
      <c r="N30" s="65"/>
      <c r="O30" s="65"/>
      <c r="P30" s="65"/>
      <c r="Q30" s="63"/>
      <c r="R30" s="63"/>
      <c r="S30" s="63"/>
      <c r="T30" s="63"/>
      <c r="U30" s="63"/>
      <c r="V30" s="63"/>
      <c r="W30" s="63" t="s">
        <v>88</v>
      </c>
      <c r="X30" s="63" t="s">
        <v>89</v>
      </c>
      <c r="Y30" s="63" t="s">
        <v>44</v>
      </c>
      <c r="Z30" s="63" t="s">
        <v>45</v>
      </c>
      <c r="AA30" s="63"/>
    </row>
    <row r="31" s="28" customFormat="1" ht="123" customHeight="1" spans="1:29">
      <c r="A31" s="63">
        <v>46</v>
      </c>
      <c r="B31" s="63" t="s">
        <v>484</v>
      </c>
      <c r="C31" s="66" t="s">
        <v>485</v>
      </c>
      <c r="D31" s="63" t="s">
        <v>33</v>
      </c>
      <c r="E31" s="63" t="s">
        <v>37</v>
      </c>
      <c r="F31" s="63" t="s">
        <v>38</v>
      </c>
      <c r="G31" s="63" t="s">
        <v>104</v>
      </c>
      <c r="H31" s="64" t="s">
        <v>880</v>
      </c>
      <c r="I31" s="63" t="s">
        <v>41</v>
      </c>
      <c r="J31" s="63">
        <v>1900</v>
      </c>
      <c r="K31" s="65">
        <f t="shared" si="1"/>
        <v>285</v>
      </c>
      <c r="L31" s="65">
        <f t="shared" si="2"/>
        <v>285</v>
      </c>
      <c r="M31" s="65">
        <f t="shared" si="5"/>
        <v>285</v>
      </c>
      <c r="N31" s="65"/>
      <c r="O31" s="65"/>
      <c r="P31" s="65"/>
      <c r="Q31" s="63"/>
      <c r="R31" s="63"/>
      <c r="S31" s="63"/>
      <c r="T31" s="63"/>
      <c r="U31" s="63"/>
      <c r="V31" s="63"/>
      <c r="W31" s="63" t="s">
        <v>104</v>
      </c>
      <c r="X31" s="63" t="s">
        <v>105</v>
      </c>
      <c r="Y31" s="63" t="s">
        <v>44</v>
      </c>
      <c r="Z31" s="63" t="s">
        <v>45</v>
      </c>
      <c r="AA31" s="63"/>
    </row>
    <row r="32" s="27" customFormat="1" ht="123" customHeight="1" spans="1:29">
      <c r="A32" s="63">
        <v>47</v>
      </c>
      <c r="B32" s="63" t="s">
        <v>487</v>
      </c>
      <c r="C32" s="66" t="s">
        <v>488</v>
      </c>
      <c r="D32" s="63" t="s">
        <v>33</v>
      </c>
      <c r="E32" s="63" t="s">
        <v>37</v>
      </c>
      <c r="F32" s="63" t="s">
        <v>38</v>
      </c>
      <c r="G32" s="63" t="s">
        <v>94</v>
      </c>
      <c r="H32" s="64" t="s">
        <v>881</v>
      </c>
      <c r="I32" s="63" t="s">
        <v>41</v>
      </c>
      <c r="J32" s="63">
        <v>2380</v>
      </c>
      <c r="K32" s="65">
        <f t="shared" si="1"/>
        <v>357</v>
      </c>
      <c r="L32" s="65">
        <f t="shared" si="2"/>
        <v>357</v>
      </c>
      <c r="M32" s="65">
        <f t="shared" si="5"/>
        <v>357</v>
      </c>
      <c r="N32" s="65"/>
      <c r="O32" s="65"/>
      <c r="P32" s="65"/>
      <c r="Q32" s="63"/>
      <c r="R32" s="63"/>
      <c r="S32" s="63"/>
      <c r="T32" s="63"/>
      <c r="U32" s="63"/>
      <c r="V32" s="63"/>
      <c r="W32" s="63" t="s">
        <v>94</v>
      </c>
      <c r="X32" s="63" t="s">
        <v>96</v>
      </c>
      <c r="Y32" s="63" t="s">
        <v>44</v>
      </c>
      <c r="Z32" s="63" t="s">
        <v>45</v>
      </c>
      <c r="AA32" s="63"/>
      <c r="AB32" s="28"/>
      <c r="AC32" s="28"/>
    </row>
    <row r="33" s="27" customFormat="1" ht="123" customHeight="1" spans="1:29">
      <c r="A33" s="63">
        <v>48</v>
      </c>
      <c r="B33" s="63" t="s">
        <v>490</v>
      </c>
      <c r="C33" s="66" t="s">
        <v>491</v>
      </c>
      <c r="D33" s="63" t="s">
        <v>33</v>
      </c>
      <c r="E33" s="63" t="s">
        <v>37</v>
      </c>
      <c r="F33" s="63" t="s">
        <v>38</v>
      </c>
      <c r="G33" s="63" t="s">
        <v>142</v>
      </c>
      <c r="H33" s="64" t="s">
        <v>492</v>
      </c>
      <c r="I33" s="63" t="s">
        <v>41</v>
      </c>
      <c r="J33" s="63">
        <v>4110</v>
      </c>
      <c r="K33" s="65">
        <f t="shared" si="1"/>
        <v>616.5</v>
      </c>
      <c r="L33" s="65">
        <f t="shared" si="2"/>
        <v>616.5</v>
      </c>
      <c r="M33" s="65">
        <v>616.5</v>
      </c>
      <c r="N33" s="65"/>
      <c r="O33" s="65"/>
      <c r="P33" s="65"/>
      <c r="Q33" s="63"/>
      <c r="R33" s="63"/>
      <c r="S33" s="63"/>
      <c r="T33" s="63"/>
      <c r="U33" s="63"/>
      <c r="V33" s="63"/>
      <c r="W33" s="63" t="s">
        <v>142</v>
      </c>
      <c r="X33" s="63" t="s">
        <v>874</v>
      </c>
      <c r="Y33" s="63" t="s">
        <v>44</v>
      </c>
      <c r="Z33" s="63" t="s">
        <v>45</v>
      </c>
      <c r="AA33" s="63"/>
      <c r="AB33" s="28"/>
      <c r="AC33" s="28"/>
    </row>
  </sheetData>
  <autoFilter xmlns:etc="http://www.wps.cn/officeDocument/2017/etCustomData" ref="A7:AC33" etc:filterBottomFollowUsedRange="0">
    <extLst/>
  </autoFilter>
  <mergeCells count="32">
    <mergeCell ref="A1:AA1"/>
    <mergeCell ref="A2:D2"/>
    <mergeCell ref="L3:V3"/>
    <mergeCell ref="L4:S4"/>
    <mergeCell ref="M5:N5"/>
    <mergeCell ref="A7:F7"/>
    <mergeCell ref="A8:C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3:Y6"/>
    <mergeCell ref="Z3:Z6"/>
    <mergeCell ref="AA3:AA6"/>
  </mergeCells>
  <dataValidations count="4">
    <dataValidation type="list" allowBlank="1" showInputMessage="1" showErrorMessage="1" sqref="D9:D33">
      <formula1>下拉列表!$A$1:$G$1</formula1>
    </dataValidation>
    <dataValidation type="list" allowBlank="1" showErrorMessage="1" sqref="E4:E8 E34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E9:E33">
      <formula1>INDIRECT(D9)</formula1>
    </dataValidation>
    <dataValidation type="list" allowBlank="1" showInputMessage="1" showErrorMessage="1" sqref="F9:F33">
      <formula1>"新建,改建,扩建"</formula1>
    </dataValidation>
  </dataValidations>
  <pageMargins left="0.393055555555556" right="0.393055555555556" top="0.590277777777778" bottom="0.590277777777778" header="0.298611111111111" footer="0.298611111111111"/>
  <pageSetup paperSize="9" scale="26" fitToHeight="0" orientation="landscape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2"/>
  <sheetViews>
    <sheetView topLeftCell="A19" workbookViewId="0">
      <selection activeCell="H11" sqref="H11"/>
    </sheetView>
  </sheetViews>
  <sheetFormatPr defaultColWidth="9.23076923076923" defaultRowHeight="15.5"/>
  <cols>
    <col min="3" max="3" width="24.1461538461538" customWidth="1"/>
    <col min="4" max="6" width="9.23076923076923" customWidth="1"/>
    <col min="7" max="7" width="12.7692307692308" customWidth="1"/>
    <col min="8" max="8" width="63.4615384615385" customWidth="1"/>
    <col min="11" max="11" width="11.6153846153846" customWidth="1"/>
  </cols>
  <sheetData>
    <row r="2" ht="63" spans="1:1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1" t="s">
        <v>13</v>
      </c>
      <c r="L2" s="12" t="s">
        <v>303</v>
      </c>
      <c r="M2" s="10" t="s">
        <v>304</v>
      </c>
      <c r="N2" s="10" t="s">
        <v>15</v>
      </c>
      <c r="O2" s="10" t="s">
        <v>17</v>
      </c>
    </row>
    <row r="3" ht="2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  <c r="M3" s="15"/>
      <c r="N3" s="15"/>
      <c r="O3" s="15"/>
    </row>
    <row r="4" ht="152" customHeight="1" spans="1:15">
      <c r="A4" s="16">
        <v>1</v>
      </c>
      <c r="B4" s="16"/>
      <c r="C4" s="17" t="s">
        <v>930</v>
      </c>
      <c r="D4" s="16" t="s">
        <v>233</v>
      </c>
      <c r="E4" s="18" t="s">
        <v>686</v>
      </c>
      <c r="F4" s="18" t="s">
        <v>38</v>
      </c>
      <c r="G4" s="16" t="s">
        <v>931</v>
      </c>
      <c r="H4" s="19" t="s">
        <v>932</v>
      </c>
      <c r="I4" s="18" t="s">
        <v>160</v>
      </c>
      <c r="J4" s="18">
        <v>10</v>
      </c>
      <c r="K4" s="20">
        <v>716</v>
      </c>
      <c r="L4" s="16">
        <v>1140</v>
      </c>
      <c r="M4" s="16" t="s">
        <v>77</v>
      </c>
      <c r="N4" s="21"/>
      <c r="O4" s="16"/>
    </row>
    <row r="5" ht="152" customHeight="1" spans="1:15">
      <c r="A5" s="16">
        <v>2</v>
      </c>
      <c r="B5" s="16"/>
      <c r="C5" s="16" t="s">
        <v>933</v>
      </c>
      <c r="D5" s="16" t="s">
        <v>33</v>
      </c>
      <c r="E5" s="18" t="s">
        <v>37</v>
      </c>
      <c r="F5" s="18" t="s">
        <v>38</v>
      </c>
      <c r="G5" s="16" t="s">
        <v>934</v>
      </c>
      <c r="H5" s="19" t="s">
        <v>935</v>
      </c>
      <c r="I5" s="18" t="s">
        <v>41</v>
      </c>
      <c r="J5" s="18">
        <v>6140</v>
      </c>
      <c r="K5" s="20">
        <v>1800</v>
      </c>
      <c r="L5" s="16"/>
      <c r="M5" s="16" t="s">
        <v>63</v>
      </c>
      <c r="N5" s="21"/>
      <c r="O5" s="16"/>
    </row>
    <row r="6" ht="67" customHeight="1" spans="1:15">
      <c r="A6" s="16">
        <v>3</v>
      </c>
      <c r="B6" s="16"/>
      <c r="C6" s="16" t="s">
        <v>936</v>
      </c>
      <c r="D6" s="16" t="s">
        <v>233</v>
      </c>
      <c r="E6" s="18" t="s">
        <v>686</v>
      </c>
      <c r="F6" s="18" t="s">
        <v>38</v>
      </c>
      <c r="G6" s="16" t="s">
        <v>937</v>
      </c>
      <c r="H6" s="19" t="s">
        <v>938</v>
      </c>
      <c r="I6" s="18" t="s">
        <v>160</v>
      </c>
      <c r="J6" s="18">
        <v>15</v>
      </c>
      <c r="K6" s="20">
        <v>1000</v>
      </c>
      <c r="L6" s="16"/>
      <c r="M6" s="16" t="s">
        <v>42</v>
      </c>
      <c r="N6" s="21"/>
      <c r="O6" s="16"/>
    </row>
    <row r="7" ht="84" customHeight="1" spans="1:15">
      <c r="A7" s="16">
        <v>4</v>
      </c>
      <c r="B7" s="16"/>
      <c r="C7" s="16" t="s">
        <v>939</v>
      </c>
      <c r="D7" s="16" t="s">
        <v>233</v>
      </c>
      <c r="E7" s="18" t="s">
        <v>686</v>
      </c>
      <c r="F7" s="18" t="s">
        <v>38</v>
      </c>
      <c r="G7" s="16" t="s">
        <v>254</v>
      </c>
      <c r="H7" s="19" t="s">
        <v>940</v>
      </c>
      <c r="I7" s="18" t="s">
        <v>160</v>
      </c>
      <c r="J7" s="18">
        <v>13.5</v>
      </c>
      <c r="K7" s="20">
        <v>950</v>
      </c>
      <c r="L7" s="16"/>
      <c r="M7" s="16" t="s">
        <v>42</v>
      </c>
      <c r="N7" s="21"/>
      <c r="O7" s="16"/>
    </row>
    <row r="8" ht="124" customHeight="1" spans="1:15">
      <c r="A8" s="16">
        <v>5</v>
      </c>
      <c r="B8" s="16"/>
      <c r="C8" s="16" t="s">
        <v>941</v>
      </c>
      <c r="D8" s="16" t="s">
        <v>233</v>
      </c>
      <c r="E8" s="18" t="s">
        <v>686</v>
      </c>
      <c r="F8" s="18" t="s">
        <v>38</v>
      </c>
      <c r="G8" s="16" t="s">
        <v>942</v>
      </c>
      <c r="H8" s="19" t="s">
        <v>943</v>
      </c>
      <c r="I8" s="18" t="s">
        <v>160</v>
      </c>
      <c r="J8" s="18">
        <v>6.7</v>
      </c>
      <c r="K8" s="20">
        <v>500</v>
      </c>
      <c r="L8" s="16"/>
      <c r="M8" s="16" t="s">
        <v>190</v>
      </c>
      <c r="N8" s="21"/>
      <c r="O8" s="16"/>
    </row>
    <row r="9" ht="85" customHeight="1" spans="1:15">
      <c r="A9" s="16">
        <v>6</v>
      </c>
      <c r="B9" s="16"/>
      <c r="C9" s="17" t="s">
        <v>944</v>
      </c>
      <c r="D9" s="16" t="s">
        <v>33</v>
      </c>
      <c r="E9" s="18" t="s">
        <v>945</v>
      </c>
      <c r="F9" s="18"/>
      <c r="G9" s="16" t="s">
        <v>946</v>
      </c>
      <c r="H9" s="19" t="s">
        <v>947</v>
      </c>
      <c r="I9" s="18" t="s">
        <v>150</v>
      </c>
      <c r="J9" s="18">
        <v>4000</v>
      </c>
      <c r="K9" s="20">
        <v>800</v>
      </c>
      <c r="L9" s="16"/>
      <c r="M9" s="16" t="s">
        <v>48</v>
      </c>
      <c r="N9" s="21"/>
      <c r="O9" s="16" t="s">
        <v>948</v>
      </c>
    </row>
    <row r="10" ht="75" customHeight="1" spans="1:15">
      <c r="A10" s="16">
        <v>7</v>
      </c>
      <c r="B10" s="16"/>
      <c r="C10" s="16" t="s">
        <v>949</v>
      </c>
      <c r="D10" s="16" t="s">
        <v>33</v>
      </c>
      <c r="E10" s="18" t="s">
        <v>562</v>
      </c>
      <c r="F10" s="18"/>
      <c r="G10" s="16" t="s">
        <v>599</v>
      </c>
      <c r="H10" s="19" t="s">
        <v>950</v>
      </c>
      <c r="I10" s="18" t="s">
        <v>141</v>
      </c>
      <c r="J10" s="18">
        <v>1</v>
      </c>
      <c r="K10" s="20">
        <v>160</v>
      </c>
      <c r="L10" s="16"/>
      <c r="M10" s="16" t="s">
        <v>48</v>
      </c>
      <c r="N10" s="21"/>
      <c r="O10" s="16"/>
    </row>
    <row r="11" ht="140" customHeight="1" spans="1:15">
      <c r="A11" s="16">
        <v>8</v>
      </c>
      <c r="B11" s="16"/>
      <c r="C11" s="16" t="s">
        <v>951</v>
      </c>
      <c r="D11" s="16" t="s">
        <v>33</v>
      </c>
      <c r="E11" s="18" t="s">
        <v>37</v>
      </c>
      <c r="F11" s="18"/>
      <c r="G11" s="16" t="s">
        <v>952</v>
      </c>
      <c r="H11" s="19" t="s">
        <v>953</v>
      </c>
      <c r="I11" s="18" t="s">
        <v>160</v>
      </c>
      <c r="J11" s="18">
        <v>5</v>
      </c>
      <c r="K11" s="20">
        <v>1200</v>
      </c>
      <c r="L11" s="16"/>
      <c r="M11" s="16" t="s">
        <v>104</v>
      </c>
      <c r="N11" s="21"/>
      <c r="O11" s="16"/>
    </row>
    <row r="12" ht="90" customHeight="1" spans="1:15">
      <c r="A12" s="16">
        <v>9</v>
      </c>
      <c r="B12" s="16"/>
      <c r="C12" s="16" t="s">
        <v>954</v>
      </c>
      <c r="D12" s="16" t="s">
        <v>33</v>
      </c>
      <c r="E12" s="18" t="s">
        <v>37</v>
      </c>
      <c r="F12" s="18"/>
      <c r="G12" s="16" t="s">
        <v>955</v>
      </c>
      <c r="H12" s="19" t="s">
        <v>956</v>
      </c>
      <c r="I12" s="18" t="s">
        <v>160</v>
      </c>
      <c r="J12" s="18">
        <v>5.7</v>
      </c>
      <c r="K12" s="20">
        <v>606</v>
      </c>
      <c r="L12" s="16"/>
      <c r="M12" s="16" t="s">
        <v>261</v>
      </c>
      <c r="N12" s="21"/>
      <c r="O12" s="16"/>
    </row>
    <row r="13" ht="244" customHeight="1" spans="1:15">
      <c r="A13" s="16">
        <v>10</v>
      </c>
      <c r="B13" s="16"/>
      <c r="C13" s="16" t="s">
        <v>685</v>
      </c>
      <c r="D13" s="16" t="s">
        <v>233</v>
      </c>
      <c r="E13" s="18" t="s">
        <v>686</v>
      </c>
      <c r="F13" s="18" t="s">
        <v>38</v>
      </c>
      <c r="G13" s="16" t="s">
        <v>687</v>
      </c>
      <c r="H13" s="19" t="s">
        <v>688</v>
      </c>
      <c r="I13" s="18" t="s">
        <v>41</v>
      </c>
      <c r="J13" s="18">
        <v>320</v>
      </c>
      <c r="K13" s="20">
        <v>2000</v>
      </c>
      <c r="L13" s="16"/>
      <c r="M13" s="16" t="s">
        <v>84</v>
      </c>
      <c r="N13" s="21"/>
      <c r="O13" s="16"/>
    </row>
    <row r="14" ht="180" customHeight="1" spans="1:15">
      <c r="A14" s="16">
        <v>11</v>
      </c>
      <c r="B14" s="16"/>
      <c r="C14" s="16" t="s">
        <v>692</v>
      </c>
      <c r="D14" s="16" t="s">
        <v>233</v>
      </c>
      <c r="E14" s="18" t="s">
        <v>693</v>
      </c>
      <c r="F14" s="18" t="s">
        <v>38</v>
      </c>
      <c r="G14" s="16" t="s">
        <v>171</v>
      </c>
      <c r="H14" s="19" t="s">
        <v>957</v>
      </c>
      <c r="I14" s="18" t="s">
        <v>41</v>
      </c>
      <c r="J14" s="18">
        <v>170</v>
      </c>
      <c r="K14" s="20">
        <v>2870</v>
      </c>
      <c r="L14" s="16"/>
      <c r="M14" s="16" t="s">
        <v>173</v>
      </c>
      <c r="N14" s="21"/>
      <c r="O14" s="16"/>
    </row>
    <row r="15" ht="159" customHeight="1" spans="1:15">
      <c r="A15" s="16">
        <v>12</v>
      </c>
      <c r="B15" s="16"/>
      <c r="C15" s="16" t="s">
        <v>718</v>
      </c>
      <c r="D15" s="16" t="s">
        <v>233</v>
      </c>
      <c r="E15" s="18" t="s">
        <v>686</v>
      </c>
      <c r="F15" s="18" t="s">
        <v>38</v>
      </c>
      <c r="G15" s="16" t="s">
        <v>719</v>
      </c>
      <c r="H15" s="19" t="s">
        <v>720</v>
      </c>
      <c r="I15" s="18" t="s">
        <v>160</v>
      </c>
      <c r="J15" s="18">
        <v>8</v>
      </c>
      <c r="K15" s="20">
        <v>780</v>
      </c>
      <c r="L15" s="16"/>
      <c r="M15" s="16" t="s">
        <v>63</v>
      </c>
      <c r="N15" s="21"/>
      <c r="O15" s="16"/>
    </row>
    <row r="16" ht="90" customHeight="1" spans="1:15">
      <c r="A16" s="16">
        <v>13</v>
      </c>
      <c r="B16" s="16"/>
      <c r="C16" s="16" t="s">
        <v>958</v>
      </c>
      <c r="D16" s="16" t="s">
        <v>233</v>
      </c>
      <c r="E16" s="18" t="s">
        <v>686</v>
      </c>
      <c r="F16" s="18" t="s">
        <v>38</v>
      </c>
      <c r="G16" s="16" t="s">
        <v>959</v>
      </c>
      <c r="H16" s="19" t="s">
        <v>960</v>
      </c>
      <c r="I16" s="18" t="s">
        <v>432</v>
      </c>
      <c r="J16" s="18">
        <v>292</v>
      </c>
      <c r="K16" s="20">
        <v>780</v>
      </c>
      <c r="L16" s="16"/>
      <c r="M16" s="16" t="s">
        <v>142</v>
      </c>
      <c r="N16" s="21"/>
      <c r="O16" s="16"/>
    </row>
    <row r="17" ht="92" customHeight="1" spans="1:15">
      <c r="A17" s="16">
        <v>14</v>
      </c>
      <c r="B17" s="16"/>
      <c r="C17" s="16" t="s">
        <v>961</v>
      </c>
      <c r="D17" s="16" t="s">
        <v>33</v>
      </c>
      <c r="E17" s="18" t="s">
        <v>37</v>
      </c>
      <c r="F17" s="18" t="s">
        <v>38</v>
      </c>
      <c r="G17" s="16" t="s">
        <v>962</v>
      </c>
      <c r="H17" s="19" t="s">
        <v>963</v>
      </c>
      <c r="I17" s="18" t="s">
        <v>150</v>
      </c>
      <c r="J17" s="18">
        <v>7000</v>
      </c>
      <c r="K17" s="20">
        <v>1000</v>
      </c>
      <c r="L17" s="16"/>
      <c r="M17" s="16" t="s">
        <v>94</v>
      </c>
      <c r="N17" s="21"/>
      <c r="O17" s="16"/>
    </row>
    <row r="18" ht="134" customHeight="1" spans="1:15">
      <c r="A18" s="16">
        <v>15</v>
      </c>
      <c r="B18" s="16"/>
      <c r="C18" s="16" t="s">
        <v>964</v>
      </c>
      <c r="D18" s="16" t="s">
        <v>233</v>
      </c>
      <c r="E18" s="18" t="s">
        <v>37</v>
      </c>
      <c r="F18" s="18" t="s">
        <v>38</v>
      </c>
      <c r="G18" s="16" t="s">
        <v>965</v>
      </c>
      <c r="H18" s="19" t="s">
        <v>966</v>
      </c>
      <c r="I18" s="18" t="s">
        <v>41</v>
      </c>
      <c r="J18" s="18">
        <v>250</v>
      </c>
      <c r="K18" s="20">
        <v>1670</v>
      </c>
      <c r="L18" s="16"/>
      <c r="M18" s="16" t="s">
        <v>94</v>
      </c>
      <c r="N18" s="21"/>
      <c r="O18" s="16"/>
    </row>
    <row r="19" ht="134" customHeight="1" spans="1:15">
      <c r="A19" s="16">
        <v>16</v>
      </c>
      <c r="B19" s="16"/>
      <c r="C19" s="16" t="s">
        <v>967</v>
      </c>
      <c r="D19" s="16" t="s">
        <v>233</v>
      </c>
      <c r="E19" s="18" t="s">
        <v>37</v>
      </c>
      <c r="F19" s="18" t="s">
        <v>38</v>
      </c>
      <c r="G19" s="16" t="s">
        <v>968</v>
      </c>
      <c r="H19" s="19" t="s">
        <v>969</v>
      </c>
      <c r="I19" s="18" t="s">
        <v>41</v>
      </c>
      <c r="J19" s="18">
        <v>200</v>
      </c>
      <c r="K19" s="20">
        <v>600</v>
      </c>
      <c r="L19" s="16"/>
      <c r="M19" s="16" t="s">
        <v>94</v>
      </c>
      <c r="N19" s="21"/>
      <c r="O19" s="16"/>
    </row>
    <row r="20" ht="134" customHeight="1" spans="1:15">
      <c r="A20" s="16">
        <v>17</v>
      </c>
      <c r="B20" s="16"/>
      <c r="C20" s="16" t="s">
        <v>970</v>
      </c>
      <c r="D20" s="16" t="s">
        <v>33</v>
      </c>
      <c r="E20" s="18" t="s">
        <v>37</v>
      </c>
      <c r="F20" s="18" t="s">
        <v>38</v>
      </c>
      <c r="G20" s="16" t="s">
        <v>971</v>
      </c>
      <c r="H20" s="19" t="s">
        <v>972</v>
      </c>
      <c r="I20" s="18" t="s">
        <v>541</v>
      </c>
      <c r="J20" s="18" t="s">
        <v>973</v>
      </c>
      <c r="K20" s="20">
        <v>300</v>
      </c>
      <c r="L20" s="16"/>
      <c r="M20" s="16" t="s">
        <v>58</v>
      </c>
      <c r="N20" s="21"/>
      <c r="O20" s="16"/>
    </row>
    <row r="21" ht="134" customHeight="1" spans="1:15">
      <c r="A21" s="16">
        <v>18</v>
      </c>
      <c r="B21" s="16"/>
      <c r="C21" s="17" t="s">
        <v>974</v>
      </c>
      <c r="D21" s="16" t="s">
        <v>33</v>
      </c>
      <c r="E21" s="18" t="s">
        <v>975</v>
      </c>
      <c r="F21" s="18" t="s">
        <v>38</v>
      </c>
      <c r="G21" s="16" t="s">
        <v>976</v>
      </c>
      <c r="H21" s="19" t="s">
        <v>977</v>
      </c>
      <c r="I21" s="18" t="s">
        <v>165</v>
      </c>
      <c r="J21" s="18">
        <v>4</v>
      </c>
      <c r="K21" s="20">
        <v>550</v>
      </c>
      <c r="L21" s="16"/>
      <c r="M21" s="16" t="s">
        <v>58</v>
      </c>
      <c r="N21" s="21"/>
      <c r="O21" s="16"/>
    </row>
    <row r="22" ht="134" customHeight="1" spans="1:15">
      <c r="A22" s="16">
        <v>19</v>
      </c>
      <c r="B22" s="16"/>
      <c r="C22" s="17" t="s">
        <v>163</v>
      </c>
      <c r="D22" s="16" t="s">
        <v>33</v>
      </c>
      <c r="E22" s="18" t="s">
        <v>37</v>
      </c>
      <c r="F22" s="18" t="s">
        <v>38</v>
      </c>
      <c r="G22" s="16" t="s">
        <v>611</v>
      </c>
      <c r="H22" s="19" t="s">
        <v>978</v>
      </c>
      <c r="I22" s="18" t="s">
        <v>165</v>
      </c>
      <c r="J22" s="18">
        <v>75</v>
      </c>
      <c r="K22" s="20">
        <v>1875</v>
      </c>
      <c r="L22" s="16"/>
      <c r="M22" s="16" t="s">
        <v>58</v>
      </c>
      <c r="N22" s="21"/>
      <c r="O22" s="16"/>
    </row>
  </sheetData>
  <autoFilter xmlns:etc="http://www.wps.cn/officeDocument/2017/etCustomData" ref="A3:O22" etc:filterBottomFollowUsedRange="0">
    <extLst/>
  </autoFilter>
  <mergeCells count="1">
    <mergeCell ref="A3:F3"/>
  </mergeCells>
  <dataValidations count="3">
    <dataValidation type="list" allowBlank="1" showErrorMessage="1" sqref="E3 E20 E22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E4:E5 E16:E19">
      <formula1>INDIRECT(D4)</formula1>
    </dataValidation>
    <dataValidation type="list" allowBlank="1" showInputMessage="1" showErrorMessage="1" sqref="F4:F7 F16:F19">
      <formula1>"新建,改建,扩建"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H11" sqref="H11"/>
    </sheetView>
  </sheetViews>
  <sheetFormatPr defaultColWidth="9.23076923076923" defaultRowHeight="15.5" outlineLevelCol="3"/>
  <cols>
    <col min="2" max="2" width="14.9230769230769" customWidth="1"/>
    <col min="3" max="3" width="17.5384615384615" style="2" customWidth="1"/>
    <col min="4" max="4" width="12.6153846153846"/>
  </cols>
  <sheetData>
    <row r="1" spans="1:4">
      <c r="A1" t="s">
        <v>2</v>
      </c>
      <c r="B1" t="s">
        <v>979</v>
      </c>
      <c r="C1" s="2" t="s">
        <v>980</v>
      </c>
      <c r="D1" t="s">
        <v>981</v>
      </c>
    </row>
    <row r="2" spans="1:4">
      <c r="C2" s="2" t="e">
        <f>SUM(C3:C33)</f>
        <v>#REF!</v>
      </c>
    </row>
    <row r="3" spans="1:4">
      <c r="A3" s="5">
        <v>1</v>
      </c>
      <c r="B3" s="6" t="s">
        <v>575</v>
      </c>
      <c r="C3" s="7" t="e">
        <f>SUM('2025年项目提取'!#REF!,'2025年项目提取'!K111,'2025年项目提取'!K136)</f>
        <v>#REF!</v>
      </c>
      <c r="D3" s="8" t="e">
        <f>C3/C2</f>
        <v>#REF!</v>
      </c>
    </row>
    <row r="4" spans="1:4">
      <c r="A4" s="5">
        <v>2</v>
      </c>
      <c r="B4" s="5" t="s">
        <v>42</v>
      </c>
      <c r="C4" s="7">
        <f>SUM('2025年项目提取'!K32,'2025年项目提取'!K75,'2025年项目提取'!K79,'2025年项目提取'!K82,'2025年项目提取'!K115,'2025年项目提取'!K116)</f>
        <v>1553</v>
      </c>
      <c r="D4" s="8" t="e">
        <f>C4/C2</f>
        <v>#REF!</v>
      </c>
    </row>
    <row r="5" spans="1:4">
      <c r="A5" s="5">
        <v>3</v>
      </c>
      <c r="B5" s="5" t="s">
        <v>190</v>
      </c>
      <c r="C5" s="5">
        <f>SUM('2025年项目提取'!K33,'2025年项目提取'!K61,'2025年项目提取'!K108,'2025年项目提取'!K123)</f>
        <v>2827.89</v>
      </c>
      <c r="D5" s="8" t="e">
        <f>C5/C2</f>
        <v>#REF!</v>
      </c>
    </row>
    <row r="6" spans="1:4">
      <c r="A6" s="5">
        <v>4</v>
      </c>
      <c r="B6" s="5" t="s">
        <v>48</v>
      </c>
      <c r="C6" s="7">
        <f>SUM('2025年项目提取'!K34,'2025年项目提取'!K49,'2025年项目提取'!K58,'2025年项目提取'!K84)</f>
        <v>1998</v>
      </c>
      <c r="D6" s="8" t="e">
        <f>C6/C2</f>
        <v>#REF!</v>
      </c>
    </row>
    <row r="7" spans="1:4">
      <c r="A7" s="5">
        <v>5</v>
      </c>
      <c r="B7" s="5" t="s">
        <v>53</v>
      </c>
      <c r="C7" s="7">
        <f>SUM('2025年项目提取'!K35,'2025年项目提取'!K85,'2025年项目提取'!K132)</f>
        <v>1418</v>
      </c>
      <c r="D7" s="8" t="e">
        <f>C7/C2</f>
        <v>#REF!</v>
      </c>
    </row>
    <row r="8" spans="1:4">
      <c r="A8" s="5">
        <v>6</v>
      </c>
      <c r="B8" s="5" t="s">
        <v>173</v>
      </c>
      <c r="C8" s="7">
        <f>SUM('2025年项目提取'!K36,'2025年项目提取'!K50,'2025年项目提取'!K86,'2025年项目提取'!K109,'2025年项目提取'!K135)</f>
        <v>4936.8</v>
      </c>
      <c r="D8" s="8" t="e">
        <f>C8/C2</f>
        <v>#REF!</v>
      </c>
    </row>
    <row r="9" spans="1:4">
      <c r="A9" s="5">
        <v>7</v>
      </c>
      <c r="B9" s="9" t="s">
        <v>151</v>
      </c>
      <c r="C9" s="7" t="e">
        <f>SUM('2025年项目提取'!K62,'2025年项目提取'!K67,'2025年项目提取'!#REF!,'2025年项目提取'!#REF!,'2025年项目提取'!K134)</f>
        <v>#REF!</v>
      </c>
      <c r="D9" s="8" t="e">
        <f>C9/C2</f>
        <v>#REF!</v>
      </c>
    </row>
    <row r="10" spans="1:4">
      <c r="A10" s="5">
        <v>8</v>
      </c>
      <c r="B10" s="6" t="s">
        <v>130</v>
      </c>
      <c r="C10" s="7">
        <f>SUM('2025年项目提取'!K37,'2025年项目提取'!K51,'2025年项目提取'!K127)</f>
        <v>885</v>
      </c>
      <c r="D10" s="8" t="e">
        <f>C10/C2</f>
        <v>#REF!</v>
      </c>
    </row>
    <row r="11" spans="1:4">
      <c r="A11" s="5">
        <v>9</v>
      </c>
      <c r="B11" s="5" t="s">
        <v>58</v>
      </c>
      <c r="C11" s="7">
        <f>SUM('2025年项目提取'!K38,'2025年项目提取'!K78,'2025年项目提取'!K87,'2025年项目提取'!K113,'2025年项目提取'!K131)</f>
        <v>1867.5</v>
      </c>
      <c r="D11" s="8" t="e">
        <f>C11/C2</f>
        <v>#REF!</v>
      </c>
    </row>
    <row r="12" spans="1:4">
      <c r="A12" s="5">
        <v>10</v>
      </c>
      <c r="B12" s="5" t="s">
        <v>643</v>
      </c>
      <c r="C12" s="7">
        <f>SUM('2025年项目提取'!K88)</f>
        <v>675</v>
      </c>
      <c r="D12" s="8" t="e">
        <f>C12/C2</f>
        <v>#REF!</v>
      </c>
    </row>
    <row r="13" spans="1:4">
      <c r="A13" s="5">
        <v>11</v>
      </c>
      <c r="B13" s="5" t="s">
        <v>63</v>
      </c>
      <c r="C13" s="5" t="e">
        <f>SUM('2025年项目提取'!K39,'2025年项目提取'!K117,'2025年项目提取'!#REF!,'2025年项目提取'!K137)</f>
        <v>#REF!</v>
      </c>
      <c r="D13" s="8" t="e">
        <f>C13/C2</f>
        <v>#REF!</v>
      </c>
    </row>
    <row r="14" spans="1:4">
      <c r="A14" s="5">
        <v>12</v>
      </c>
      <c r="B14" s="5" t="s">
        <v>69</v>
      </c>
      <c r="C14" s="7">
        <f>SUM('2025年项目提取'!K40,'2025年项目提取'!K97)</f>
        <v>1146</v>
      </c>
      <c r="D14" s="8" t="e">
        <f>C14/C2</f>
        <v>#REF!</v>
      </c>
    </row>
    <row r="15" spans="1:4">
      <c r="A15" s="5">
        <v>13</v>
      </c>
      <c r="B15" s="5" t="s">
        <v>73</v>
      </c>
      <c r="C15" s="7">
        <f>SUM('2025年项目提取'!K41,'2025年项目提取'!K90,'2025年项目提取'!K130)</f>
        <v>1921</v>
      </c>
      <c r="D15" s="8" t="e">
        <f>C15/C2</f>
        <v>#REF!</v>
      </c>
    </row>
    <row r="16" spans="1:4">
      <c r="A16" s="5">
        <v>14</v>
      </c>
      <c r="B16" s="5" t="s">
        <v>77</v>
      </c>
      <c r="C16" s="7" t="e">
        <f>SUM('2025年项目提取'!K42,'2025年项目提取'!#REF!,'2025年项目提取'!K70,'2025年项目提取'!K91,'2025年项目提取'!K124)</f>
        <v>#REF!</v>
      </c>
      <c r="D16" s="8" t="e">
        <f>C16/C2</f>
        <v>#REF!</v>
      </c>
    </row>
    <row r="17" spans="1:4">
      <c r="A17" s="5">
        <v>15</v>
      </c>
      <c r="B17" s="5" t="s">
        <v>84</v>
      </c>
      <c r="C17" s="7" t="e">
        <f>SUM('2025年项目提取'!K43,'2025年项目提取'!#REF!,'2025年项目提取'!#REF!,'2025年项目提取'!#REF!,'2025年项目提取'!K73,'2025年项目提取'!K74,'2025年项目提取'!K92,'2025年项目提取'!#REF!,'2025年项目提取'!K112,'2025年项目提取'!#REF!)</f>
        <v>#REF!</v>
      </c>
      <c r="D17" s="8" t="e">
        <f>C17/C2</f>
        <v>#REF!</v>
      </c>
    </row>
    <row r="18" spans="1:4">
      <c r="A18" s="5">
        <v>16</v>
      </c>
      <c r="B18" s="9" t="s">
        <v>261</v>
      </c>
      <c r="C18" s="7" t="e">
        <f>SUM('2025年项目提取'!#REF!,'2025年项目提取'!K138)</f>
        <v>#REF!</v>
      </c>
      <c r="D18" s="8" t="e">
        <f>C18/C2</f>
        <v>#REF!</v>
      </c>
    </row>
    <row r="19" spans="1:4">
      <c r="A19" s="5">
        <v>17</v>
      </c>
      <c r="B19" s="9" t="s">
        <v>922</v>
      </c>
      <c r="C19" s="7">
        <f>SUM('2025年项目提取'!K126)</f>
        <v>400</v>
      </c>
      <c r="D19" s="8" t="e">
        <f>C19/C2</f>
        <v>#REF!</v>
      </c>
    </row>
    <row r="20" spans="1:4">
      <c r="A20" s="5">
        <v>18</v>
      </c>
      <c r="B20" s="5" t="s">
        <v>88</v>
      </c>
      <c r="C20" s="7">
        <f>SUM('2025年项目提取'!K44,'2025年项目提取'!K71,'2025年项目提取'!K72,'2025年项目提取'!K129)</f>
        <v>5696</v>
      </c>
      <c r="D20" s="8" t="e">
        <f>C20/C2</f>
        <v>#REF!</v>
      </c>
    </row>
    <row r="21" spans="1:4">
      <c r="A21" s="5">
        <v>19</v>
      </c>
      <c r="B21" s="5" t="s">
        <v>104</v>
      </c>
      <c r="C21" s="7">
        <f>SUM('2025年项目提取'!K45,'2025年项目提取'!K94,'2025年项目提取'!K125)</f>
        <v>1137</v>
      </c>
      <c r="D21" s="8" t="e">
        <f>C21/C2</f>
        <v>#REF!</v>
      </c>
    </row>
    <row r="22" spans="1:4">
      <c r="A22" s="5">
        <v>20</v>
      </c>
      <c r="B22" s="5" t="s">
        <v>94</v>
      </c>
      <c r="C22" s="5">
        <f>SUM('2025年项目提取'!K46,'2025年项目提取'!K55,'2025年项目提取'!K128)</f>
        <v>1148</v>
      </c>
      <c r="D22" s="8" t="e">
        <f>C22/C2</f>
        <v>#REF!</v>
      </c>
    </row>
    <row r="23" spans="1:4">
      <c r="A23" s="5">
        <v>21</v>
      </c>
      <c r="B23" s="5" t="s">
        <v>142</v>
      </c>
      <c r="C23" s="5" t="e">
        <f>SUM('2025年项目提取'!K47,'2025年项目提取'!K56,'2025年项目提取'!K77,'2025年项目提取'!#REF!,'2025年项目提取'!K96,'2025年项目提取'!K133)</f>
        <v>#REF!</v>
      </c>
      <c r="D23" s="8" t="e">
        <f>C23/C2</f>
        <v>#REF!</v>
      </c>
    </row>
    <row r="24" spans="1:4">
      <c r="A24" s="5">
        <v>22</v>
      </c>
      <c r="B24" s="5" t="s">
        <v>376</v>
      </c>
      <c r="C24" s="5">
        <f>SUM('2025年项目提取'!K64,'2025年项目提取'!K65,'2025年项目提取'!K66,'2025年项目提取'!K68,'2025年项目提取'!K81)</f>
        <v>5100</v>
      </c>
      <c r="D24" s="8" t="e">
        <f>C24/C2</f>
        <v>#REF!</v>
      </c>
    </row>
    <row r="25" spans="1:4">
      <c r="A25" s="5">
        <v>23</v>
      </c>
      <c r="B25" s="5" t="s">
        <v>508</v>
      </c>
      <c r="C25" s="5">
        <f>SUM('2025年项目提取'!K59)</f>
        <v>85</v>
      </c>
      <c r="D25" s="8" t="e">
        <f>C25/C2</f>
        <v>#REF!</v>
      </c>
    </row>
    <row r="26" spans="1:4">
      <c r="A26" s="5">
        <v>24</v>
      </c>
      <c r="B26" s="5" t="s">
        <v>982</v>
      </c>
      <c r="C26" s="5">
        <f>SUM('2025年项目提取'!K118)</f>
        <v>200</v>
      </c>
      <c r="D26" s="8" t="e">
        <f>C26/C2</f>
        <v>#REF!</v>
      </c>
    </row>
    <row r="27" spans="1:4">
      <c r="A27" s="5">
        <v>25</v>
      </c>
      <c r="B27" s="5" t="s">
        <v>623</v>
      </c>
      <c r="C27" s="5">
        <f>SUM('2025年项目提取'!K120,'2025年项目提取'!K121)</f>
        <v>1983.61</v>
      </c>
      <c r="D27" s="8" t="e">
        <f>C27/C2</f>
        <v>#REF!</v>
      </c>
    </row>
    <row r="28" spans="1:4">
      <c r="A28" s="5">
        <v>26</v>
      </c>
      <c r="B28" s="5" t="s">
        <v>161</v>
      </c>
      <c r="C28" s="5">
        <f>SUM('2025年项目提取'!K30,'2025年项目提取'!K80)</f>
        <v>1395</v>
      </c>
      <c r="D28" s="8" t="e">
        <f>C28/C2</f>
        <v>#REF!</v>
      </c>
    </row>
    <row r="29" spans="1:4">
      <c r="A29" s="5">
        <v>27</v>
      </c>
      <c r="B29" s="5" t="s">
        <v>223</v>
      </c>
      <c r="C29" s="5">
        <f>SUM('2025年项目提取'!K100,'2025年项目提取'!K101,'2025年项目提取'!K102,'2025年项目提取'!K103,'2025年项目提取'!K104,'2025年项目提取'!K105)</f>
        <v>3434.1</v>
      </c>
      <c r="D29" s="8" t="e">
        <f>C29/C2</f>
        <v>#REF!</v>
      </c>
    </row>
    <row r="30" spans="1:4">
      <c r="A30" s="5">
        <v>28</v>
      </c>
      <c r="B30" s="5" t="s">
        <v>613</v>
      </c>
      <c r="C30" s="5">
        <f>SUM('2025年项目提取'!K142)</f>
        <v>48</v>
      </c>
      <c r="D30" s="8" t="e">
        <f>C30/C2</f>
        <v>#REF!</v>
      </c>
    </row>
    <row r="31" spans="1:4">
      <c r="A31" s="5">
        <v>29</v>
      </c>
      <c r="B31" s="5" t="s">
        <v>256</v>
      </c>
      <c r="C31" s="5">
        <f>SUM('2025年项目提取'!K99)</f>
        <v>1894.8</v>
      </c>
      <c r="D31" s="8" t="e">
        <f>C31/C2</f>
        <v>#REF!</v>
      </c>
    </row>
    <row r="32" spans="1:4">
      <c r="A32" s="5">
        <v>30</v>
      </c>
      <c r="B32" s="5" t="s">
        <v>270</v>
      </c>
      <c r="C32" s="5">
        <f>SUM('2025年项目提取'!K140)</f>
        <v>1800</v>
      </c>
      <c r="D32" s="8" t="e">
        <f>C32/C2</f>
        <v>#REF!</v>
      </c>
    </row>
    <row r="33" spans="1:4">
      <c r="A33" s="5">
        <v>31</v>
      </c>
      <c r="B33" s="5" t="s">
        <v>983</v>
      </c>
      <c r="C33" s="5" t="e">
        <f>SUM('2025年项目提取'!K10,'2025年项目提取'!K11,'2025年项目提取'!#REF!,'2025年项目提取'!#REF!,'2025年项目提取'!K13,'2025年项目提取'!K14,'2025年项目提取'!K15,'2025年项目提取'!#REF!,'2025年项目提取'!K16,'2025年项目提取'!K17,'2025年项目提取'!K18,'2025年项目提取'!K19,'2025年项目提取'!K20,'2025年项目提取'!K21,'2025年项目提取'!K22,'2025年项目提取'!K23,'2025年项目提取'!K24,'2025年项目提取'!K25,'2025年项目提取'!K26,'2025年项目提取'!K27,'2025年项目提取'!K28,'2025年项目提取'!#REF!,'2025年项目提取'!K12)</f>
        <v>#REF!</v>
      </c>
      <c r="D33" s="8" t="e">
        <f>C33/C2</f>
        <v>#REF!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H11" sqref="H11"/>
    </sheetView>
  </sheetViews>
  <sheetFormatPr defaultColWidth="9" defaultRowHeight="15.5" outlineLevelCol="6"/>
  <cols>
    <col min="1" max="7" width="31.5" style="2" customWidth="1"/>
    <col min="8" max="16384" width="9" style="2"/>
  </cols>
  <sheetData>
    <row r="1" s="1" customFormat="1" spans="1:7">
      <c r="A1" s="3" t="s">
        <v>33</v>
      </c>
      <c r="B1" s="3" t="s">
        <v>218</v>
      </c>
      <c r="C1" s="3" t="s">
        <v>233</v>
      </c>
      <c r="D1" s="3" t="s">
        <v>273</v>
      </c>
      <c r="E1" s="3" t="s">
        <v>267</v>
      </c>
      <c r="F1" s="3" t="s">
        <v>797</v>
      </c>
      <c r="G1" s="3" t="s">
        <v>805</v>
      </c>
    </row>
    <row r="2" spans="1:7">
      <c r="A2" s="4" t="s">
        <v>37</v>
      </c>
      <c r="B2" s="4" t="s">
        <v>227</v>
      </c>
      <c r="C2" s="4" t="s">
        <v>984</v>
      </c>
      <c r="D2" s="4" t="s">
        <v>985</v>
      </c>
      <c r="E2" s="4" t="s">
        <v>986</v>
      </c>
      <c r="F2" s="4" t="s">
        <v>797</v>
      </c>
      <c r="G2" s="4" t="s">
        <v>987</v>
      </c>
    </row>
    <row r="3" spans="1:7">
      <c r="A3" s="4" t="s">
        <v>211</v>
      </c>
      <c r="B3" s="4" t="s">
        <v>668</v>
      </c>
      <c r="C3" s="4" t="s">
        <v>247</v>
      </c>
      <c r="D3" s="4" t="s">
        <v>988</v>
      </c>
      <c r="E3" s="4" t="s">
        <v>268</v>
      </c>
      <c r="F3" s="4"/>
      <c r="G3" s="4" t="s">
        <v>806</v>
      </c>
    </row>
    <row r="4" spans="1:7">
      <c r="A4" s="4" t="s">
        <v>170</v>
      </c>
      <c r="B4" s="4" t="s">
        <v>989</v>
      </c>
      <c r="C4" s="4" t="s">
        <v>990</v>
      </c>
      <c r="D4" s="4" t="s">
        <v>276</v>
      </c>
      <c r="E4" s="4"/>
      <c r="F4" s="4"/>
      <c r="G4" s="4" t="s">
        <v>805</v>
      </c>
    </row>
    <row r="5" spans="1:7">
      <c r="A5" s="4" t="s">
        <v>991</v>
      </c>
      <c r="B5" s="4" t="s">
        <v>810</v>
      </c>
      <c r="C5" s="4" t="s">
        <v>731</v>
      </c>
      <c r="D5" s="4"/>
      <c r="E5" s="4"/>
      <c r="F5" s="4"/>
      <c r="G5" s="4"/>
    </row>
    <row r="6" spans="1:7">
      <c r="A6" s="4" t="s">
        <v>945</v>
      </c>
      <c r="B6" s="4" t="s">
        <v>992</v>
      </c>
      <c r="C6" s="4" t="s">
        <v>993</v>
      </c>
      <c r="D6" s="4"/>
      <c r="E6" s="4"/>
      <c r="F6" s="4"/>
      <c r="G6" s="4"/>
    </row>
    <row r="7" spans="1:7">
      <c r="A7" s="4" t="s">
        <v>994</v>
      </c>
      <c r="B7" s="4" t="s">
        <v>995</v>
      </c>
      <c r="C7" s="4" t="s">
        <v>996</v>
      </c>
      <c r="D7" s="4"/>
      <c r="E7" s="4"/>
      <c r="F7" s="4"/>
      <c r="G7" s="4"/>
    </row>
    <row r="8" spans="1:7">
      <c r="A8" s="4" t="s">
        <v>574</v>
      </c>
      <c r="B8" s="4" t="s">
        <v>679</v>
      </c>
      <c r="C8" s="4" t="s">
        <v>997</v>
      </c>
      <c r="D8" s="4"/>
      <c r="E8" s="4"/>
      <c r="F8" s="4"/>
      <c r="G8" s="4"/>
    </row>
    <row r="9" spans="1:7">
      <c r="A9" s="4" t="s">
        <v>138</v>
      </c>
      <c r="B9" s="4" t="s">
        <v>998</v>
      </c>
      <c r="C9" s="4" t="s">
        <v>999</v>
      </c>
      <c r="D9" s="4"/>
      <c r="E9" s="4"/>
      <c r="F9" s="4"/>
      <c r="G9" s="4"/>
    </row>
    <row r="10" spans="1:7">
      <c r="A10" s="4" t="s">
        <v>533</v>
      </c>
      <c r="B10" s="4" t="s">
        <v>1000</v>
      </c>
      <c r="C10" s="4" t="s">
        <v>723</v>
      </c>
      <c r="D10" s="4"/>
      <c r="E10" s="4"/>
      <c r="F10" s="4"/>
      <c r="G10" s="4"/>
    </row>
    <row r="11" spans="1:7">
      <c r="A11" s="4" t="s">
        <v>1001</v>
      </c>
      <c r="B11" s="4" t="s">
        <v>1002</v>
      </c>
      <c r="C11" s="4" t="s">
        <v>686</v>
      </c>
      <c r="D11" s="4"/>
      <c r="E11" s="4"/>
      <c r="F11" s="4"/>
      <c r="G11" s="4"/>
    </row>
    <row r="12" spans="1:7">
      <c r="A12" s="4" t="s">
        <v>1003</v>
      </c>
      <c r="B12" s="4" t="s">
        <v>219</v>
      </c>
      <c r="C12" s="4" t="s">
        <v>1004</v>
      </c>
      <c r="D12" s="4"/>
      <c r="E12" s="4"/>
      <c r="F12" s="4"/>
      <c r="G12" s="4"/>
    </row>
    <row r="13" spans="1:7">
      <c r="A13" s="4" t="s">
        <v>562</v>
      </c>
      <c r="B13" s="4"/>
      <c r="C13" s="4" t="s">
        <v>693</v>
      </c>
      <c r="D13" s="4"/>
      <c r="E13" s="4"/>
      <c r="F13" s="4"/>
      <c r="G13" s="4"/>
    </row>
    <row r="14" spans="1:7">
      <c r="A14" s="4" t="s">
        <v>590</v>
      </c>
      <c r="B14" s="4"/>
      <c r="C14" s="4" t="s">
        <v>1005</v>
      </c>
      <c r="D14" s="4"/>
      <c r="E14" s="4"/>
      <c r="F14" s="4"/>
      <c r="G14" s="4"/>
    </row>
    <row r="15" spans="1:7">
      <c r="A15" s="4" t="s">
        <v>544</v>
      </c>
      <c r="B15" s="4"/>
      <c r="C15" s="4" t="s">
        <v>1006</v>
      </c>
      <c r="D15" s="4"/>
      <c r="E15" s="4"/>
      <c r="F15" s="4"/>
      <c r="G15" s="4"/>
    </row>
    <row r="16" spans="1:7">
      <c r="A16" s="4" t="s">
        <v>1007</v>
      </c>
      <c r="B16" s="4"/>
      <c r="C16" s="4" t="s">
        <v>1008</v>
      </c>
      <c r="D16" s="4"/>
      <c r="E16" s="4"/>
      <c r="F16" s="4"/>
      <c r="G16" s="4"/>
    </row>
    <row r="17" spans="1:7">
      <c r="A17" s="4" t="s">
        <v>348</v>
      </c>
      <c r="B17" s="4"/>
      <c r="C17" s="4" t="s">
        <v>1009</v>
      </c>
      <c r="D17" s="4"/>
      <c r="E17" s="4"/>
      <c r="F17" s="4"/>
      <c r="G17" s="4"/>
    </row>
    <row r="18" spans="1:7">
      <c r="A18" s="4" t="s">
        <v>430</v>
      </c>
      <c r="B18" s="4"/>
      <c r="C18" s="4" t="s">
        <v>1010</v>
      </c>
      <c r="D18" s="4"/>
      <c r="E18" s="4"/>
      <c r="F18" s="4"/>
      <c r="G18" s="4"/>
    </row>
    <row r="19" spans="1:7">
      <c r="A19" s="4" t="s">
        <v>1011</v>
      </c>
      <c r="B19" s="4"/>
      <c r="C19" s="4" t="s">
        <v>1012</v>
      </c>
      <c r="D19" s="4"/>
      <c r="E19" s="4"/>
      <c r="F19" s="4"/>
      <c r="G19" s="4"/>
    </row>
    <row r="20" spans="1:7">
      <c r="A20" s="4" t="s">
        <v>1013</v>
      </c>
      <c r="B20" s="4"/>
      <c r="C20" s="4"/>
      <c r="D20" s="4"/>
      <c r="E20" s="4"/>
      <c r="F20" s="4"/>
      <c r="G20" s="4"/>
    </row>
    <row r="21" spans="1:7">
      <c r="A21" s="4" t="s">
        <v>1014</v>
      </c>
      <c r="B21" s="4"/>
      <c r="C21" s="4"/>
      <c r="D21" s="4"/>
      <c r="E21" s="4"/>
      <c r="F21" s="4"/>
      <c r="G21" s="4"/>
    </row>
    <row r="22" spans="1:7">
      <c r="A22" s="4" t="s">
        <v>1015</v>
      </c>
      <c r="B22" s="4"/>
      <c r="C22" s="4"/>
      <c r="D22" s="4"/>
      <c r="E22" s="4"/>
      <c r="F22" s="4"/>
      <c r="G22" s="4"/>
    </row>
    <row r="23" spans="1:7">
      <c r="A23" s="4"/>
      <c r="B23" s="4"/>
      <c r="C23" s="4"/>
      <c r="D23" s="4"/>
      <c r="E23" s="4"/>
      <c r="F23" s="4"/>
      <c r="G23" s="4"/>
    </row>
    <row r="24" spans="1:7">
      <c r="A24" s="4"/>
      <c r="B24" s="4"/>
      <c r="C24" s="4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4"/>
      <c r="D26" s="4"/>
      <c r="E26" s="4"/>
      <c r="F26" s="4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第二批</vt:lpstr>
      <vt:lpstr>第二批 (3)</vt:lpstr>
      <vt:lpstr>第二批 (2)</vt:lpstr>
      <vt:lpstr>2025年项目库修改版 (县委汇报版)</vt:lpstr>
      <vt:lpstr>2025年项目提取</vt:lpstr>
      <vt:lpstr>土地碎片化</vt:lpstr>
      <vt:lpstr>示范村</vt:lpstr>
      <vt:lpstr>各单位统计</vt:lpstr>
      <vt:lpstr>下拉列表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achebar</cp:lastModifiedBy>
  <dcterms:created xsi:type="dcterms:W3CDTF">2006-09-16T00:00:00Z</dcterms:created>
  <dcterms:modified xsi:type="dcterms:W3CDTF">2025-12-25T19:25:26Z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C6925A476D2345BDA3F5611661D2AB12_13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